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9"/>
  <workbookPr defaultThemeVersion="124226"/>
  <bookViews>
    <workbookView xWindow="360" yWindow="285" windowWidth="18795" windowHeight="7170" activeTab="0"/>
  </bookViews>
  <sheets>
    <sheet name="Investimento para arrendar" sheetId="1" r:id="rId1"/>
  </sheets>
  <definedNames>
    <definedName name="_xlnm.Print_Area" localSheetId="0">'Investimento para arrendar'!$A$1:$R$83</definedName>
  </definedNames>
  <calcPr calcId="191028"/>
  <extLst/>
</workbook>
</file>

<file path=xl/sharedStrings.xml><?xml version="1.0" encoding="utf-8"?>
<sst xmlns="http://schemas.openxmlformats.org/spreadsheetml/2006/main" count="136" uniqueCount="116">
  <si>
    <t>INVESTIMENTO NO IMÓVEL</t>
  </si>
  <si>
    <t>Aquisição</t>
  </si>
  <si>
    <t>Ano de aquisição</t>
  </si>
  <si>
    <t>Tx. Amortização</t>
  </si>
  <si>
    <t>Amortização anual</t>
  </si>
  <si>
    <t>Valor da escritura</t>
  </si>
  <si>
    <t>IMT</t>
  </si>
  <si>
    <t>Imposto do Selo</t>
  </si>
  <si>
    <t>Custos de escritura</t>
  </si>
  <si>
    <t>Outros gastos de aquisição</t>
  </si>
  <si>
    <t>IVA</t>
  </si>
  <si>
    <t>Ano</t>
  </si>
  <si>
    <t>Obras de requalificação / construção</t>
  </si>
  <si>
    <t>Ano de realização</t>
  </si>
  <si>
    <t>INVESTIMENTO EM CAPITAL FIXO / INVENTÁRIOS</t>
  </si>
  <si>
    <t>Projectos de arquitectura / engenharia  / outras especialidades</t>
  </si>
  <si>
    <t>Gastos de aquisição</t>
  </si>
  <si>
    <t>Licenciamento</t>
  </si>
  <si>
    <t>Obra / empreitada</t>
  </si>
  <si>
    <t>Investimentos anuais</t>
  </si>
  <si>
    <t>FLUXOS DE FINANCIAMENTO</t>
  </si>
  <si>
    <t>Terreno (25% do total de aquisição)</t>
  </si>
  <si>
    <t>Financiamento obtido</t>
  </si>
  <si>
    <t>Edificio</t>
  </si>
  <si>
    <t>Reembolso do empréstimo</t>
  </si>
  <si>
    <t>Capital em dívida no final do ano</t>
  </si>
  <si>
    <t>Juros</t>
  </si>
  <si>
    <t>A partir do ano</t>
  </si>
  <si>
    <t>Meios libertos do projecto</t>
  </si>
  <si>
    <t>Diversos</t>
  </si>
  <si>
    <t>RESULTADOS OPERACIONAIS</t>
  </si>
  <si>
    <t>FINANCIAMENTO</t>
  </si>
  <si>
    <t>Vendas e serviços prestados</t>
  </si>
  <si>
    <t>Valor do financiamento bancário</t>
  </si>
  <si>
    <t>Fornecimentos e serviços externos</t>
  </si>
  <si>
    <t>Reembolso empréstimo</t>
  </si>
  <si>
    <t>Prazo</t>
  </si>
  <si>
    <t>Gastos com pessoal</t>
  </si>
  <si>
    <t>Prazo de carência de capital (anos)</t>
  </si>
  <si>
    <t>Outros rendimentos e ganhos</t>
  </si>
  <si>
    <t>Taxa de juro anual fixa %</t>
  </si>
  <si>
    <t>Outros gastos e perdas</t>
  </si>
  <si>
    <r>
      <t>GASTOS ANUAIS</t>
    </r>
    <r>
      <rPr>
        <sz val="12"/>
        <rFont val="Calibri"/>
        <family val="2"/>
        <scheme val="minor"/>
      </rPr>
      <t xml:space="preserve"> (a preços do ano 1)</t>
    </r>
  </si>
  <si>
    <t>Resultado antes de depreciações, gastos de financiamento e impostos</t>
  </si>
  <si>
    <t>Comissões</t>
  </si>
  <si>
    <t>Gastos/reversões de depreciação e de amortização</t>
  </si>
  <si>
    <t>Seguros</t>
  </si>
  <si>
    <t>Outros gastos anuais (p.e. condominio)</t>
  </si>
  <si>
    <t>Resultados operacionais (antes de gastos de financiamento e impostos)</t>
  </si>
  <si>
    <t>Juros e gastos similares suportados</t>
  </si>
  <si>
    <t>IMI / AIMI</t>
  </si>
  <si>
    <t>Resultados antes de impostos</t>
  </si>
  <si>
    <t>Imposto sobre o rendimento do periodo</t>
  </si>
  <si>
    <r>
      <t xml:space="preserve">ARRENDAMENTO </t>
    </r>
    <r>
      <rPr>
        <sz val="12"/>
        <rFont val="Calibri"/>
        <family val="2"/>
        <scheme val="minor"/>
      </rPr>
      <t>(a preços do ano 1)</t>
    </r>
  </si>
  <si>
    <t>Ano de início de arrendamento</t>
  </si>
  <si>
    <t>Resultado líquido do periodo</t>
  </si>
  <si>
    <t>RENDAS:</t>
  </si>
  <si>
    <t>N.º de fracções por tipo</t>
  </si>
  <si>
    <t>Renda mensal</t>
  </si>
  <si>
    <t>Tx. Ocupação %</t>
  </si>
  <si>
    <t>Renda anual por fração</t>
  </si>
  <si>
    <t>Renda anual por tipo de fracção</t>
  </si>
  <si>
    <t xml:space="preserve">       Fracções tipo 1</t>
  </si>
  <si>
    <t>Resultados operacionais (EBIT - Imposto)</t>
  </si>
  <si>
    <t xml:space="preserve">       Fracções tipo 2</t>
  </si>
  <si>
    <t>Depreciações e amortizações</t>
  </si>
  <si>
    <t xml:space="preserve">       Fracções tipo 3</t>
  </si>
  <si>
    <t xml:space="preserve">       Fracções tipo 4</t>
  </si>
  <si>
    <t xml:space="preserve">       Fracções tipo 5</t>
  </si>
  <si>
    <t>Variação de saldos de inventários</t>
  </si>
  <si>
    <t xml:space="preserve">Total estimado de rendas anuais: </t>
  </si>
  <si>
    <t>Variação de saldo de clientes (+)</t>
  </si>
  <si>
    <t>Variação de saldo de fornecedores (-)</t>
  </si>
  <si>
    <r>
      <t xml:space="preserve">Imposto s/ rendimento  
</t>
    </r>
    <r>
      <rPr>
        <sz val="9"/>
        <rFont val="Calibri"/>
        <family val="2"/>
        <scheme val="minor"/>
      </rPr>
      <t>(tx irc + derrama)</t>
    </r>
  </si>
  <si>
    <t>Investimento em Fundo de Maneio</t>
  </si>
  <si>
    <t>PRESSUPOSTOS</t>
  </si>
  <si>
    <t>Variação do investimento em Capital Fixo</t>
  </si>
  <si>
    <t>1.</t>
  </si>
  <si>
    <t>prazo de análise do projecto</t>
  </si>
  <si>
    <t xml:space="preserve">5 anos </t>
  </si>
  <si>
    <t>Investimento em Capital Fixo</t>
  </si>
  <si>
    <t>2.</t>
  </si>
  <si>
    <t>taxa de actualização R = Rf + Bu*(Rm-Rf)</t>
  </si>
  <si>
    <t>FCFF</t>
  </si>
  <si>
    <t>Rf: tx activos s/ risco</t>
  </si>
  <si>
    <t>tx rendibilidade de OT a 10 anos (9/2017 fonte: BP):</t>
  </si>
  <si>
    <t>(Rm-Rf): Prémio de risco de mercado:</t>
  </si>
  <si>
    <t>Empréstimos obtidos</t>
  </si>
  <si>
    <t>Bu: indicador da relação entre o risco do projecto e do mercado: usar 1 se não conhecer</t>
  </si>
  <si>
    <t>3.</t>
  </si>
  <si>
    <t>taxa anual de variação dos preços</t>
  </si>
  <si>
    <t>FCFE</t>
  </si>
  <si>
    <t>4.</t>
  </si>
  <si>
    <t>perpetuidade ou capital residual (colocar "sim" se a opção escolhida for a perpetuidade dos FCFE)</t>
  </si>
  <si>
    <t>Taxa de Actualização R = Rf + Bu*(Rm-Rf)</t>
  </si>
  <si>
    <t>taxa de crescimento FCFE na perpetuidade =</t>
  </si>
  <si>
    <t>Factor actualização</t>
  </si>
  <si>
    <t>capital residual (por defeito)</t>
  </si>
  <si>
    <t>Fluxos actualizados</t>
  </si>
  <si>
    <t>NOTAS</t>
  </si>
  <si>
    <t>IVA: considerar o IVA não dedutível sobre:</t>
  </si>
  <si>
    <t>Prestações de serviços na aquisição</t>
  </si>
  <si>
    <t>VAL</t>
  </si>
  <si>
    <t>Obra/empreitada (avaliar a sujeição à lista I, CIVA - taxa reduzida)</t>
  </si>
  <si>
    <t>TIR</t>
  </si>
  <si>
    <t>Outros gastos anuais e gastos para vender (comissões)</t>
  </si>
  <si>
    <t>Depreciações e amortizações:</t>
  </si>
  <si>
    <t xml:space="preserve">Consultar o DR 25/2009, actualizado pelo DR 4/2015. </t>
  </si>
  <si>
    <t>Método de avaliação</t>
  </si>
  <si>
    <t>Método dos fluxos de caixa descontados, na perspectiva do investidor</t>
  </si>
  <si>
    <t>Valor actual líquido</t>
  </si>
  <si>
    <t>É a soma de todas as entradas e saídas de dinheiro durante a vida útil do projecto actualizada para o momento presente</t>
  </si>
  <si>
    <t>Se positivo, o projecto apresenta uma rendibilidade positiva</t>
  </si>
  <si>
    <t>5.</t>
  </si>
  <si>
    <t>Taxa interna de rentabilidade</t>
  </si>
  <si>
    <t>Calcula-se igualando o VAL a zero e resolvendo em função da taxa de actualização. Se for maior do que a taxa de actualização (taxa minima de rentabilidade esperada), o projecto é atractivo.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</si>
</sst>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4999699890613556"/>
        <bgColor theme="0" tint="-0.149959996342659"/>
      </patternFill>
    </fill>
    <fill>
      <patternFill patternType="gray0625">
        <fgColor theme="0" tint="-0.4999699890613556"/>
        <bgColor theme="0" tint="-0.1499900072813034"/>
      </patternFill>
    </fill>
    <fill>
      <patternFill patternType="solid">
        <fgColor rgb="FFFF3300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ck">
        <color rgb="FFFFCC00"/>
      </left>
      <right/>
      <top style="thick">
        <color rgb="FFFFCC00"/>
      </top>
      <bottom/>
    </border>
    <border>
      <left/>
      <right/>
      <top style="thick">
        <color rgb="FFFFCC00"/>
      </top>
      <bottom/>
    </border>
    <border>
      <left/>
      <right style="thick">
        <color rgb="FFFFCC00"/>
      </right>
      <top style="thick">
        <color rgb="FFFFCC00"/>
      </top>
      <bottom/>
    </border>
    <border>
      <left style="thick">
        <color rgb="FFFFCC00"/>
      </left>
      <right/>
      <top/>
      <bottom/>
    </border>
    <border>
      <left/>
      <right style="thick">
        <color rgb="FFFFCC00"/>
      </right>
      <top/>
      <bottom/>
    </border>
    <border>
      <left/>
      <right/>
      <top style="thin"/>
      <bottom style="thin"/>
    </border>
    <border>
      <left style="thick">
        <color rgb="FF3366FF"/>
      </left>
      <right/>
      <top style="thick">
        <color rgb="FF3366FF"/>
      </top>
      <bottom/>
    </border>
    <border>
      <left/>
      <right/>
      <top style="thick">
        <color rgb="FF3366FF"/>
      </top>
      <bottom/>
    </border>
    <border>
      <left/>
      <right style="thick">
        <color rgb="FF3366FF"/>
      </right>
      <top style="thick">
        <color rgb="FF3366FF"/>
      </top>
      <bottom/>
    </border>
    <border>
      <left style="thick">
        <color rgb="FF3366FF"/>
      </left>
      <right/>
      <top/>
      <bottom/>
    </border>
    <border>
      <left/>
      <right style="thick">
        <color rgb="FF3366FF"/>
      </right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 style="thick">
        <color rgb="FFFFCC00"/>
      </right>
      <top style="thin"/>
      <bottom style="thin"/>
    </border>
    <border>
      <left style="thin"/>
      <right/>
      <top style="thin"/>
      <bottom/>
    </border>
    <border>
      <left style="thick">
        <color rgb="FF3366FF"/>
      </left>
      <right/>
      <top/>
      <bottom style="thick">
        <color rgb="FF3366FF"/>
      </bottom>
    </border>
    <border>
      <left/>
      <right/>
      <top/>
      <bottom style="thick">
        <color rgb="FF3366FF"/>
      </bottom>
    </border>
    <border>
      <left/>
      <right style="thick">
        <color rgb="FF3366FF"/>
      </right>
      <top/>
      <bottom style="thick">
        <color rgb="FF3366FF"/>
      </bottom>
    </border>
    <border>
      <left style="thick">
        <color rgb="FFFF9900"/>
      </left>
      <right/>
      <top/>
      <bottom/>
    </border>
    <border>
      <left/>
      <right style="thick">
        <color rgb="FFFFCC00"/>
      </right>
      <top style="thin"/>
      <bottom style="double"/>
    </border>
    <border>
      <left style="thick">
        <color rgb="FFFFCC00"/>
      </left>
      <right/>
      <top/>
      <bottom style="thick">
        <color rgb="FFFFCC00"/>
      </bottom>
    </border>
    <border>
      <left/>
      <right/>
      <top/>
      <bottom style="thick">
        <color rgb="FFFFCC00"/>
      </bottom>
    </border>
    <border>
      <left/>
      <right style="thick">
        <color rgb="FFFFCC00"/>
      </right>
      <top/>
      <bottom style="thick">
        <color rgb="FFFFCC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9" fontId="5" fillId="2" borderId="2" xfId="21" applyFont="1" applyFill="1" applyBorder="1" applyProtection="1">
      <protection/>
    </xf>
    <xf numFmtId="0" fontId="5" fillId="2" borderId="2" xfId="0" applyFont="1" applyFill="1" applyBorder="1" applyAlignment="1">
      <alignment horizontal="center"/>
    </xf>
    <xf numFmtId="164" fontId="4" fillId="2" borderId="3" xfId="20" applyNumberFormat="1" applyFont="1" applyFill="1" applyBorder="1" applyProtection="1">
      <protection/>
    </xf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4" fillId="4" borderId="4" xfId="0" applyFont="1" applyFill="1" applyBorder="1"/>
    <xf numFmtId="0" fontId="4" fillId="4" borderId="0" xfId="0" applyFont="1" applyFill="1"/>
    <xf numFmtId="0" fontId="5" fillId="4" borderId="0" xfId="0" applyFont="1" applyFill="1"/>
    <xf numFmtId="9" fontId="5" fillId="4" borderId="0" xfId="21" applyFont="1" applyFill="1" applyBorder="1" applyProtection="1">
      <protection/>
    </xf>
    <xf numFmtId="0" fontId="5" fillId="4" borderId="0" xfId="0" applyFont="1" applyFill="1" applyAlignment="1">
      <alignment horizontal="center"/>
    </xf>
    <xf numFmtId="164" fontId="4" fillId="4" borderId="5" xfId="20" applyNumberFormat="1" applyFont="1" applyFill="1" applyBorder="1" applyProtection="1">
      <protection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164" fontId="7" fillId="4" borderId="5" xfId="20" applyNumberFormat="1" applyFont="1" applyFill="1" applyBorder="1" applyAlignment="1" applyProtection="1">
      <alignment horizontal="center"/>
      <protection/>
    </xf>
    <xf numFmtId="0" fontId="6" fillId="3" borderId="0" xfId="0" applyFont="1" applyFill="1" applyAlignment="1">
      <alignment horizontal="left"/>
    </xf>
    <xf numFmtId="0" fontId="0" fillId="4" borderId="0" xfId="0" applyFill="1"/>
    <xf numFmtId="164" fontId="4" fillId="5" borderId="0" xfId="20" applyNumberFormat="1" applyFont="1" applyFill="1" applyBorder="1" applyProtection="1">
      <protection locked="0"/>
    </xf>
    <xf numFmtId="0" fontId="5" fillId="4" borderId="5" xfId="0" applyFont="1" applyFill="1" applyBorder="1" applyAlignment="1">
      <alignment horizontal="center"/>
    </xf>
    <xf numFmtId="164" fontId="4" fillId="4" borderId="6" xfId="20" applyNumberFormat="1" applyFont="1" applyFill="1" applyBorder="1" applyProtection="1">
      <protection/>
    </xf>
    <xf numFmtId="0" fontId="6" fillId="3" borderId="7" xfId="0" applyFont="1" applyFill="1" applyBorder="1"/>
    <xf numFmtId="0" fontId="6" fillId="3" borderId="8" xfId="0" applyFont="1" applyFill="1" applyBorder="1"/>
    <xf numFmtId="0" fontId="8" fillId="3" borderId="8" xfId="0" applyFont="1" applyFill="1" applyBorder="1" applyAlignment="1">
      <alignment horizontal="center"/>
    </xf>
    <xf numFmtId="0" fontId="0" fillId="3" borderId="9" xfId="0" applyFill="1" applyBorder="1"/>
    <xf numFmtId="0" fontId="8" fillId="3" borderId="1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10" xfId="0" applyFont="1" applyFill="1" applyBorder="1"/>
    <xf numFmtId="0" fontId="0" fillId="3" borderId="11" xfId="0" applyFill="1" applyBorder="1"/>
    <xf numFmtId="164" fontId="6" fillId="3" borderId="0" xfId="0" applyNumberFormat="1" applyFont="1" applyFill="1"/>
    <xf numFmtId="164" fontId="4" fillId="4" borderId="12" xfId="20" applyNumberFormat="1" applyFont="1" applyFill="1" applyBorder="1" applyProtection="1">
      <protection/>
    </xf>
    <xf numFmtId="164" fontId="6" fillId="3" borderId="13" xfId="0" applyNumberFormat="1" applyFont="1" applyFill="1" applyBorder="1"/>
    <xf numFmtId="164" fontId="4" fillId="4" borderId="14" xfId="20" applyNumberFormat="1" applyFont="1" applyFill="1" applyBorder="1" applyProtection="1">
      <protection/>
    </xf>
    <xf numFmtId="164" fontId="6" fillId="3" borderId="0" xfId="20" applyNumberFormat="1" applyFont="1" applyFill="1" applyBorder="1" applyProtection="1">
      <protection/>
    </xf>
    <xf numFmtId="9" fontId="5" fillId="4" borderId="0" xfId="21" applyFont="1" applyFill="1" applyBorder="1" applyAlignment="1" applyProtection="1">
      <alignment horizontal="right"/>
      <protection/>
    </xf>
    <xf numFmtId="164" fontId="4" fillId="4" borderId="15" xfId="20" applyNumberFormat="1" applyFont="1" applyFill="1" applyBorder="1" applyProtection="1">
      <protection/>
    </xf>
    <xf numFmtId="164" fontId="6" fillId="3" borderId="11" xfId="0" applyNumberFormat="1" applyFont="1" applyFill="1" applyBorder="1"/>
    <xf numFmtId="9" fontId="4" fillId="5" borderId="0" xfId="21" applyFont="1" applyFill="1" applyBorder="1" applyProtection="1">
      <protection locked="0"/>
    </xf>
    <xf numFmtId="164" fontId="4" fillId="4" borderId="16" xfId="20" applyNumberFormat="1" applyFont="1" applyFill="1" applyBorder="1" applyAlignment="1" applyProtection="1">
      <alignment horizontal="right"/>
      <protection/>
    </xf>
    <xf numFmtId="0" fontId="8" fillId="3" borderId="0" xfId="0" applyFont="1" applyFill="1" applyAlignment="1">
      <alignment horizontal="right"/>
    </xf>
    <xf numFmtId="164" fontId="4" fillId="4" borderId="0" xfId="20" applyNumberFormat="1" applyFont="1" applyFill="1" applyBorder="1" applyProtection="1">
      <protection/>
    </xf>
    <xf numFmtId="164" fontId="4" fillId="4" borderId="5" xfId="20" applyNumberFormat="1" applyFont="1" applyFill="1" applyBorder="1" applyAlignment="1" applyProtection="1">
      <alignment horizontal="right"/>
      <protection/>
    </xf>
    <xf numFmtId="0" fontId="8" fillId="3" borderId="17" xfId="0" applyFont="1" applyFill="1" applyBorder="1"/>
    <xf numFmtId="9" fontId="4" fillId="4" borderId="0" xfId="21" applyFont="1" applyFill="1" applyBorder="1" applyAlignment="1" applyProtection="1">
      <alignment horizontal="right"/>
      <protection/>
    </xf>
    <xf numFmtId="10" fontId="4" fillId="5" borderId="0" xfId="21" applyNumberFormat="1" applyFont="1" applyFill="1" applyBorder="1" applyProtection="1">
      <protection locked="0"/>
    </xf>
    <xf numFmtId="164" fontId="4" fillId="4" borderId="16" xfId="20" applyNumberFormat="1" applyFont="1" applyFill="1" applyBorder="1" applyProtection="1">
      <protection/>
    </xf>
    <xf numFmtId="0" fontId="3" fillId="2" borderId="4" xfId="0" applyFont="1" applyFill="1" applyBorder="1"/>
    <xf numFmtId="0" fontId="4" fillId="2" borderId="0" xfId="0" applyFont="1" applyFill="1"/>
    <xf numFmtId="0" fontId="5" fillId="2" borderId="0" xfId="0" applyFont="1" applyFill="1"/>
    <xf numFmtId="9" fontId="5" fillId="2" borderId="0" xfId="21" applyFont="1" applyFill="1" applyBorder="1" applyProtection="1">
      <protection/>
    </xf>
    <xf numFmtId="0" fontId="5" fillId="2" borderId="0" xfId="0" applyFont="1" applyFill="1" applyAlignment="1">
      <alignment horizontal="center"/>
    </xf>
    <xf numFmtId="164" fontId="4" fillId="2" borderId="5" xfId="20" applyNumberFormat="1" applyFont="1" applyFill="1" applyBorder="1" applyProtection="1">
      <protection/>
    </xf>
    <xf numFmtId="9" fontId="5" fillId="4" borderId="0" xfId="21" applyFont="1" applyFill="1" applyBorder="1" applyAlignment="1" applyProtection="1">
      <alignment horizontal="center"/>
      <protection/>
    </xf>
    <xf numFmtId="164" fontId="5" fillId="4" borderId="0" xfId="20" applyNumberFormat="1" applyFont="1" applyFill="1" applyBorder="1" applyAlignment="1" applyProtection="1">
      <alignment horizontal="center"/>
      <protection/>
    </xf>
    <xf numFmtId="164" fontId="4" fillId="6" borderId="5" xfId="20" applyNumberFormat="1" applyFont="1" applyFill="1" applyBorder="1" applyProtection="1">
      <protection locked="0"/>
    </xf>
    <xf numFmtId="0" fontId="5" fillId="4" borderId="0" xfId="0" applyFont="1" applyFill="1" applyAlignment="1">
      <alignment horizontal="right"/>
    </xf>
    <xf numFmtId="164" fontId="4" fillId="5" borderId="5" xfId="20" applyNumberFormat="1" applyFont="1" applyFill="1" applyBorder="1" applyProtection="1">
      <protection locked="0"/>
    </xf>
    <xf numFmtId="9" fontId="4" fillId="5" borderId="5" xfId="21" applyFont="1" applyFill="1" applyBorder="1" applyProtection="1">
      <protection locked="0"/>
    </xf>
    <xf numFmtId="0" fontId="6" fillId="3" borderId="0" xfId="0" applyFont="1" applyFill="1" applyAlignment="1">
      <alignment horizontal="right"/>
    </xf>
    <xf numFmtId="164" fontId="6" fillId="3" borderId="6" xfId="20" applyNumberFormat="1" applyFont="1" applyFill="1" applyBorder="1" applyProtection="1">
      <protection/>
    </xf>
    <xf numFmtId="0" fontId="10" fillId="3" borderId="0" xfId="0" applyFont="1" applyFill="1"/>
    <xf numFmtId="0" fontId="10" fillId="0" borderId="0" xfId="0" applyFont="1"/>
    <xf numFmtId="0" fontId="4" fillId="4" borderId="0" xfId="0" applyFont="1" applyFill="1" applyAlignment="1">
      <alignment horizontal="left"/>
    </xf>
    <xf numFmtId="164" fontId="6" fillId="3" borderId="6" xfId="0" applyNumberFormat="1" applyFont="1" applyFill="1" applyBorder="1"/>
    <xf numFmtId="43" fontId="6" fillId="3" borderId="0" xfId="20" applyFont="1" applyFill="1" applyBorder="1" applyProtection="1">
      <protection/>
    </xf>
    <xf numFmtId="0" fontId="9" fillId="2" borderId="2" xfId="0" applyFont="1" applyFill="1" applyBorder="1"/>
    <xf numFmtId="9" fontId="9" fillId="2" borderId="2" xfId="21" applyFont="1" applyFill="1" applyBorder="1" applyProtection="1">
      <protection/>
    </xf>
    <xf numFmtId="0" fontId="9" fillId="2" borderId="2" xfId="0" applyFont="1" applyFill="1" applyBorder="1" applyAlignment="1">
      <alignment horizontal="center"/>
    </xf>
    <xf numFmtId="164" fontId="9" fillId="2" borderId="3" xfId="20" applyNumberFormat="1" applyFont="1" applyFill="1" applyBorder="1" applyProtection="1">
      <protection/>
    </xf>
    <xf numFmtId="0" fontId="3" fillId="4" borderId="4" xfId="0" applyFont="1" applyFill="1" applyBorder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164" fontId="9" fillId="4" borderId="5" xfId="20" applyNumberFormat="1" applyFont="1" applyFill="1" applyBorder="1" applyProtection="1">
      <protection/>
    </xf>
    <xf numFmtId="0" fontId="6" fillId="3" borderId="18" xfId="0" applyFont="1" applyFill="1" applyBorder="1"/>
    <xf numFmtId="0" fontId="6" fillId="3" borderId="19" xfId="0" applyFont="1" applyFill="1" applyBorder="1"/>
    <xf numFmtId="0" fontId="10" fillId="3" borderId="20" xfId="0" applyFont="1" applyFill="1" applyBorder="1"/>
    <xf numFmtId="0" fontId="11" fillId="4" borderId="4" xfId="0" applyFont="1" applyFill="1" applyBorder="1"/>
    <xf numFmtId="0" fontId="12" fillId="4" borderId="0" xfId="0" applyFont="1" applyFill="1"/>
    <xf numFmtId="9" fontId="12" fillId="4" borderId="0" xfId="21" applyFont="1" applyFill="1" applyBorder="1" applyProtection="1">
      <protection/>
    </xf>
    <xf numFmtId="0" fontId="12" fillId="4" borderId="0" xfId="0" applyFont="1" applyFill="1" applyAlignment="1">
      <alignment horizontal="center"/>
    </xf>
    <xf numFmtId="164" fontId="0" fillId="4" borderId="5" xfId="20" applyNumberFormat="1" applyFont="1" applyFill="1" applyBorder="1" applyProtection="1">
      <protection/>
    </xf>
    <xf numFmtId="164" fontId="2" fillId="3" borderId="0" xfId="0" applyNumberFormat="1" applyFont="1" applyFill="1"/>
    <xf numFmtId="0" fontId="0" fillId="4" borderId="4" xfId="0" applyFill="1" applyBorder="1"/>
    <xf numFmtId="0" fontId="6" fillId="4" borderId="0" xfId="0" applyFont="1" applyFill="1" applyAlignment="1">
      <alignment horizontal="center" vertical="center" wrapText="1"/>
    </xf>
    <xf numFmtId="9" fontId="6" fillId="4" borderId="0" xfId="2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>
      <alignment horizontal="center" wrapText="1"/>
    </xf>
    <xf numFmtId="164" fontId="6" fillId="4" borderId="5" xfId="20" applyNumberFormat="1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/>
    <xf numFmtId="164" fontId="4" fillId="6" borderId="0" xfId="20" applyNumberFormat="1" applyFont="1" applyFill="1" applyBorder="1" applyProtection="1">
      <protection locked="0"/>
    </xf>
    <xf numFmtId="9" fontId="4" fillId="6" borderId="0" xfId="21" applyFont="1" applyFill="1" applyBorder="1" applyProtection="1">
      <protection locked="0"/>
    </xf>
    <xf numFmtId="164" fontId="0" fillId="4" borderId="0" xfId="20" applyNumberFormat="1" applyFont="1" applyFill="1" applyBorder="1" applyAlignment="1" applyProtection="1">
      <alignment horizontal="right"/>
      <protection/>
    </xf>
    <xf numFmtId="0" fontId="8" fillId="3" borderId="10" xfId="0" applyFont="1" applyFill="1" applyBorder="1"/>
    <xf numFmtId="0" fontId="6" fillId="0" borderId="0" xfId="0" applyFont="1"/>
    <xf numFmtId="9" fontId="0" fillId="4" borderId="0" xfId="21" applyFont="1" applyFill="1" applyBorder="1" applyProtection="1">
      <protection/>
    </xf>
    <xf numFmtId="0" fontId="2" fillId="4" borderId="21" xfId="0" applyFont="1" applyFill="1" applyBorder="1" applyAlignment="1">
      <alignment horizontal="right"/>
    </xf>
    <xf numFmtId="164" fontId="2" fillId="4" borderId="22" xfId="20" applyNumberFormat="1" applyFont="1" applyFill="1" applyBorder="1" applyProtection="1">
      <protection/>
    </xf>
    <xf numFmtId="0" fontId="4" fillId="4" borderId="23" xfId="0" applyFont="1" applyFill="1" applyBorder="1"/>
    <xf numFmtId="0" fontId="4" fillId="4" borderId="24" xfId="0" applyFont="1" applyFill="1" applyBorder="1"/>
    <xf numFmtId="0" fontId="4" fillId="4" borderId="25" xfId="0" applyFont="1" applyFill="1" applyBorder="1"/>
    <xf numFmtId="9" fontId="4" fillId="6" borderId="24" xfId="21" applyFont="1" applyFill="1" applyBorder="1" applyAlignment="1" applyProtection="1">
      <alignment vertical="center"/>
      <protection locked="0"/>
    </xf>
    <xf numFmtId="9" fontId="9" fillId="4" borderId="24" xfId="21" applyFont="1" applyFill="1" applyBorder="1" applyProtection="1">
      <protection/>
    </xf>
    <xf numFmtId="9" fontId="9" fillId="4" borderId="25" xfId="21" applyFont="1" applyFill="1" applyBorder="1" applyProtection="1">
      <protection/>
    </xf>
    <xf numFmtId="0" fontId="12" fillId="3" borderId="0" xfId="0" applyFont="1" applyFill="1"/>
    <xf numFmtId="9" fontId="12" fillId="3" borderId="0" xfId="21" applyFont="1" applyFill="1" applyProtection="1">
      <protection/>
    </xf>
    <xf numFmtId="0" fontId="12" fillId="3" borderId="0" xfId="0" applyFont="1" applyFill="1" applyAlignment="1">
      <alignment horizontal="center"/>
    </xf>
    <xf numFmtId="164" fontId="0" fillId="3" borderId="0" xfId="20" applyNumberFormat="1" applyFont="1" applyFill="1" applyProtection="1">
      <protection/>
    </xf>
    <xf numFmtId="164" fontId="6" fillId="3" borderId="12" xfId="20" applyNumberFormat="1" applyFont="1" applyFill="1" applyBorder="1" applyProtection="1">
      <protection/>
    </xf>
    <xf numFmtId="0" fontId="14" fillId="7" borderId="26" xfId="0" applyFont="1" applyFill="1" applyBorder="1"/>
    <xf numFmtId="0" fontId="14" fillId="7" borderId="27" xfId="0" applyFont="1" applyFill="1" applyBorder="1"/>
    <xf numFmtId="0" fontId="14" fillId="7" borderId="28" xfId="0" applyFont="1" applyFill="1" applyBorder="1"/>
    <xf numFmtId="164" fontId="6" fillId="3" borderId="15" xfId="20" applyNumberFormat="1" applyFont="1" applyFill="1" applyBorder="1" applyProtection="1">
      <protection/>
    </xf>
    <xf numFmtId="0" fontId="0" fillId="4" borderId="29" xfId="0" applyFill="1" applyBorder="1"/>
    <xf numFmtId="9" fontId="0" fillId="4" borderId="0" xfId="21" applyFont="1" applyFill="1" applyBorder="1" applyProtection="1">
      <protection/>
    </xf>
    <xf numFmtId="0" fontId="0" fillId="4" borderId="0" xfId="0" applyFill="1" applyAlignment="1">
      <alignment horizontal="center"/>
    </xf>
    <xf numFmtId="164" fontId="0" fillId="4" borderId="30" xfId="20" applyNumberFormat="1" applyFont="1" applyFill="1" applyBorder="1" applyProtection="1">
      <protection/>
    </xf>
    <xf numFmtId="10" fontId="0" fillId="4" borderId="30" xfId="21" applyNumberFormat="1" applyFont="1" applyFill="1" applyBorder="1" applyProtection="1">
      <protection/>
    </xf>
    <xf numFmtId="164" fontId="6" fillId="3" borderId="13" xfId="20" applyNumberFormat="1" applyFont="1" applyFill="1" applyBorder="1" applyProtection="1">
      <protection/>
    </xf>
    <xf numFmtId="165" fontId="12" fillId="3" borderId="0" xfId="0" applyNumberFormat="1" applyFont="1" applyFill="1"/>
    <xf numFmtId="9" fontId="6" fillId="4" borderId="0" xfId="21" applyFont="1" applyFill="1" applyBorder="1" applyProtection="1">
      <protection/>
    </xf>
    <xf numFmtId="164" fontId="5" fillId="6" borderId="0" xfId="20" applyNumberFormat="1" applyFont="1" applyFill="1" applyBorder="1" applyProtection="1">
      <protection locked="0"/>
    </xf>
    <xf numFmtId="164" fontId="4" fillId="6" borderId="0" xfId="20" applyNumberFormat="1" applyFont="1" applyFill="1" applyBorder="1" applyProtection="1">
      <protection/>
    </xf>
    <xf numFmtId="10" fontId="7" fillId="6" borderId="30" xfId="21" applyNumberFormat="1" applyFont="1" applyFill="1" applyBorder="1" applyProtection="1">
      <protection locked="0"/>
    </xf>
    <xf numFmtId="0" fontId="6" fillId="4" borderId="0" xfId="0" applyFont="1" applyFill="1"/>
    <xf numFmtId="43" fontId="7" fillId="6" borderId="30" xfId="20" applyFont="1" applyFill="1" applyBorder="1" applyProtection="1">
      <protection locked="0"/>
    </xf>
    <xf numFmtId="0" fontId="10" fillId="3" borderId="10" xfId="0" applyFont="1" applyFill="1" applyBorder="1"/>
    <xf numFmtId="0" fontId="0" fillId="4" borderId="30" xfId="0" applyFill="1" applyBorder="1" applyAlignment="1">
      <alignment horizontal="center"/>
    </xf>
    <xf numFmtId="164" fontId="15" fillId="3" borderId="0" xfId="20" applyNumberFormat="1" applyFont="1" applyFill="1" applyBorder="1" applyProtection="1">
      <protection/>
    </xf>
    <xf numFmtId="0" fontId="12" fillId="4" borderId="30" xfId="0" applyFont="1" applyFill="1" applyBorder="1" applyAlignment="1">
      <alignment horizontal="center"/>
    </xf>
    <xf numFmtId="10" fontId="12" fillId="3" borderId="0" xfId="0" applyNumberFormat="1" applyFont="1" applyFill="1"/>
    <xf numFmtId="0" fontId="6" fillId="4" borderId="0" xfId="0" applyFont="1" applyFill="1" applyAlignment="1">
      <alignment horizontal="right"/>
    </xf>
    <xf numFmtId="10" fontId="7" fillId="6" borderId="30" xfId="21" applyNumberFormat="1" applyFont="1" applyFill="1" applyBorder="1" applyAlignment="1" applyProtection="1">
      <alignment horizontal="center"/>
      <protection locked="0"/>
    </xf>
    <xf numFmtId="164" fontId="0" fillId="4" borderId="30" xfId="20" applyNumberFormat="1" applyFont="1" applyFill="1" applyBorder="1" applyAlignment="1" applyProtection="1">
      <alignment horizontal="center"/>
      <protection/>
    </xf>
    <xf numFmtId="0" fontId="0" fillId="4" borderId="31" xfId="0" applyFill="1" applyBorder="1"/>
    <xf numFmtId="0" fontId="0" fillId="4" borderId="32" xfId="0" applyFill="1" applyBorder="1"/>
    <xf numFmtId="0" fontId="12" fillId="4" borderId="32" xfId="0" applyFont="1" applyFill="1" applyBorder="1"/>
    <xf numFmtId="9" fontId="12" fillId="4" borderId="32" xfId="21" applyFont="1" applyFill="1" applyBorder="1" applyProtection="1">
      <protection/>
    </xf>
    <xf numFmtId="0" fontId="12" fillId="4" borderId="32" xfId="0" applyFont="1" applyFill="1" applyBorder="1" applyAlignment="1">
      <alignment horizontal="center"/>
    </xf>
    <xf numFmtId="164" fontId="0" fillId="4" borderId="33" xfId="20" applyNumberFormat="1" applyFont="1" applyFill="1" applyBorder="1" applyProtection="1">
      <protection/>
    </xf>
    <xf numFmtId="164" fontId="12" fillId="3" borderId="0" xfId="20" applyNumberFormat="1" applyFont="1" applyFill="1" applyBorder="1" applyProtection="1">
      <protection/>
    </xf>
    <xf numFmtId="0" fontId="14" fillId="7" borderId="29" xfId="0" applyFont="1" applyFill="1" applyBorder="1"/>
    <xf numFmtId="0" fontId="0" fillId="7" borderId="0" xfId="0" applyFill="1"/>
    <xf numFmtId="0" fontId="12" fillId="7" borderId="0" xfId="0" applyFont="1" applyFill="1"/>
    <xf numFmtId="9" fontId="12" fillId="7" borderId="0" xfId="21" applyFont="1" applyFill="1" applyBorder="1" applyProtection="1">
      <protection/>
    </xf>
    <xf numFmtId="0" fontId="12" fillId="7" borderId="0" xfId="0" applyFont="1" applyFill="1" applyAlignment="1">
      <alignment horizontal="center"/>
    </xf>
    <xf numFmtId="164" fontId="0" fillId="7" borderId="30" xfId="20" applyNumberFormat="1" applyFont="1" applyFill="1" applyBorder="1" applyProtection="1">
      <protection/>
    </xf>
    <xf numFmtId="0" fontId="8" fillId="3" borderId="0" xfId="0" applyFont="1" applyFill="1"/>
    <xf numFmtId="0" fontId="12" fillId="4" borderId="0" xfId="21" applyNumberFormat="1" applyFont="1" applyFill="1" applyBorder="1" applyProtection="1">
      <protection/>
    </xf>
    <xf numFmtId="0" fontId="6" fillId="8" borderId="10" xfId="0" applyFont="1" applyFill="1" applyBorder="1"/>
    <xf numFmtId="0" fontId="16" fillId="8" borderId="0" xfId="0" applyFont="1" applyFill="1" applyAlignment="1">
      <alignment horizontal="right"/>
    </xf>
    <xf numFmtId="0" fontId="17" fillId="8" borderId="0" xfId="0" applyFont="1" applyFill="1"/>
    <xf numFmtId="164" fontId="16" fillId="8" borderId="0" xfId="0" applyNumberFormat="1" applyFont="1" applyFill="1"/>
    <xf numFmtId="0" fontId="0" fillId="8" borderId="0" xfId="0" applyFill="1"/>
    <xf numFmtId="0" fontId="0" fillId="8" borderId="11" xfId="0" applyFill="1" applyBorder="1"/>
    <xf numFmtId="164" fontId="6" fillId="0" borderId="0" xfId="0" applyNumberFormat="1" applyFont="1"/>
    <xf numFmtId="0" fontId="12" fillId="4" borderId="0" xfId="20" applyNumberFormat="1" applyFont="1" applyFill="1" applyBorder="1" applyProtection="1">
      <protection/>
    </xf>
    <xf numFmtId="0" fontId="6" fillId="8" borderId="18" xfId="0" applyFont="1" applyFill="1" applyBorder="1"/>
    <xf numFmtId="0" fontId="16" fillId="8" borderId="19" xfId="0" applyFont="1" applyFill="1" applyBorder="1" applyAlignment="1">
      <alignment horizontal="right"/>
    </xf>
    <xf numFmtId="0" fontId="17" fillId="8" borderId="19" xfId="0" applyFont="1" applyFill="1" applyBorder="1"/>
    <xf numFmtId="9" fontId="16" fillId="8" borderId="19" xfId="21" applyFont="1" applyFill="1" applyBorder="1" applyAlignment="1" applyProtection="1">
      <alignment horizontal="right"/>
      <protection/>
    </xf>
    <xf numFmtId="0" fontId="0" fillId="8" borderId="19" xfId="0" applyFill="1" applyBorder="1"/>
    <xf numFmtId="0" fontId="0" fillId="8" borderId="20" xfId="0" applyFill="1" applyBorder="1"/>
    <xf numFmtId="9" fontId="6" fillId="0" borderId="0" xfId="0" applyNumberFormat="1" applyFont="1"/>
    <xf numFmtId="10" fontId="6" fillId="0" borderId="0" xfId="0" applyNumberFormat="1" applyFont="1"/>
    <xf numFmtId="43" fontId="6" fillId="0" borderId="0" xfId="20" applyFont="1" applyProtection="1">
      <protection/>
    </xf>
    <xf numFmtId="43" fontId="0" fillId="0" borderId="0" xfId="20" applyFont="1" applyProtection="1">
      <protection/>
    </xf>
    <xf numFmtId="9" fontId="12" fillId="4" borderId="0" xfId="21" applyFont="1" applyFill="1" applyBorder="1" applyAlignment="1" applyProtection="1">
      <alignment vertical="top"/>
      <protection/>
    </xf>
    <xf numFmtId="0" fontId="12" fillId="0" borderId="0" xfId="0" applyFont="1"/>
    <xf numFmtId="9" fontId="12" fillId="0" borderId="0" xfId="21" applyFont="1" applyProtection="1">
      <protection/>
    </xf>
    <xf numFmtId="0" fontId="12" fillId="0" borderId="0" xfId="0" applyFont="1" applyAlignment="1">
      <alignment horizontal="center"/>
    </xf>
    <xf numFmtId="164" fontId="0" fillId="0" borderId="0" xfId="20" applyNumberFormat="1" applyFont="1" applyProtection="1">
      <protection/>
    </xf>
    <xf numFmtId="0" fontId="3" fillId="2" borderId="34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9" fontId="12" fillId="4" borderId="0" xfId="21" applyFont="1" applyFill="1" applyBorder="1" applyAlignment="1" applyProtection="1">
      <alignment horizontal="left" vertical="top" wrapText="1"/>
      <protection/>
    </xf>
    <xf numFmtId="9" fontId="12" fillId="4" borderId="30" xfId="21" applyFont="1" applyFill="1" applyBorder="1" applyAlignment="1" applyProtection="1">
      <alignment horizontal="left" vertical="top" wrapText="1"/>
      <protection/>
    </xf>
    <xf numFmtId="9" fontId="12" fillId="4" borderId="32" xfId="21" applyFont="1" applyFill="1" applyBorder="1" applyAlignment="1" applyProtection="1">
      <alignment horizontal="left" vertical="top" wrapText="1"/>
      <protection/>
    </xf>
    <xf numFmtId="9" fontId="12" fillId="4" borderId="33" xfId="2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e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85"/>
  <sheetViews>
    <sheetView tabSelected="1" zoomScale="75" zoomScaleNormal="75" workbookViewId="0" topLeftCell="A29">
      <selection activeCell="A56" sqref="A56:C56"/>
    </sheetView>
  </sheetViews>
  <sheetFormatPr defaultColWidth="8.8515625" defaultRowHeight="15"/>
  <cols>
    <col min="1" max="1" width="12.7109375" style="0" customWidth="1"/>
    <col min="2" max="2" width="11.421875" style="0" customWidth="1"/>
    <col min="3" max="3" width="18.421875" style="0" customWidth="1"/>
    <col min="4" max="4" width="15.421875" style="173" customWidth="1"/>
    <col min="5" max="5" width="15.421875" style="174" customWidth="1"/>
    <col min="6" max="6" width="15.421875" style="175" customWidth="1"/>
    <col min="7" max="7" width="22.8515625" style="176" customWidth="1"/>
    <col min="8" max="8" width="3.8515625" style="7" customWidth="1"/>
    <col min="9" max="9" width="3.7109375" style="99" customWidth="1"/>
    <col min="10" max="10" width="62.421875" style="99" customWidth="1"/>
    <col min="11" max="11" width="4.140625" style="99" customWidth="1"/>
    <col min="12" max="12" width="15.421875" style="99" customWidth="1"/>
    <col min="13" max="17" width="15.421875" style="0" customWidth="1"/>
    <col min="18" max="19" width="3.8515625" style="0" customWidth="1"/>
  </cols>
  <sheetData>
    <row r="1" spans="1:18" ht="16.5" thickTop="1">
      <c r="A1" s="1" t="s">
        <v>0</v>
      </c>
      <c r="B1" s="2"/>
      <c r="C1" s="2"/>
      <c r="D1" s="3"/>
      <c r="E1" s="4"/>
      <c r="F1" s="5"/>
      <c r="G1" s="6"/>
      <c r="I1" s="8"/>
      <c r="J1" s="9"/>
      <c r="K1" s="9"/>
      <c r="L1" s="9"/>
      <c r="M1" s="7"/>
      <c r="N1" s="7"/>
      <c r="O1" s="7"/>
      <c r="P1" s="7"/>
      <c r="Q1" s="7"/>
      <c r="R1" s="7"/>
    </row>
    <row r="2" spans="1:19" s="18" customFormat="1" ht="15">
      <c r="A2" s="10"/>
      <c r="B2" s="11" t="s">
        <v>1</v>
      </c>
      <c r="C2" s="11"/>
      <c r="D2" s="12"/>
      <c r="E2" s="13"/>
      <c r="F2" s="14"/>
      <c r="G2" s="15"/>
      <c r="H2" s="16"/>
      <c r="I2" s="9"/>
      <c r="J2" s="9"/>
      <c r="K2" s="17"/>
      <c r="L2" s="17"/>
      <c r="M2" s="17"/>
      <c r="N2" s="17"/>
      <c r="O2" s="17"/>
      <c r="P2" s="17"/>
      <c r="Q2" s="17"/>
      <c r="R2" s="7"/>
      <c r="S2"/>
    </row>
    <row r="3" spans="1:18" ht="15">
      <c r="A3" s="10"/>
      <c r="B3" s="11"/>
      <c r="C3" s="19" t="s">
        <v>2</v>
      </c>
      <c r="D3" s="12">
        <v>1</v>
      </c>
      <c r="E3" s="13"/>
      <c r="F3" s="20" t="s">
        <v>3</v>
      </c>
      <c r="G3" s="21" t="s">
        <v>4</v>
      </c>
      <c r="I3" s="9"/>
      <c r="J3" s="22"/>
      <c r="K3" s="17"/>
      <c r="L3" s="17"/>
      <c r="M3" s="17"/>
      <c r="N3" s="17"/>
      <c r="O3" s="17"/>
      <c r="P3" s="17"/>
      <c r="Q3" s="17"/>
      <c r="R3" s="7"/>
    </row>
    <row r="4" spans="1:19" ht="15">
      <c r="A4" s="10"/>
      <c r="B4" s="11"/>
      <c r="C4" s="23"/>
      <c r="D4" s="19" t="s">
        <v>5</v>
      </c>
      <c r="E4" s="24">
        <v>100000</v>
      </c>
      <c r="F4" s="14"/>
      <c r="G4" s="25"/>
      <c r="I4" s="9"/>
      <c r="J4" s="22"/>
      <c r="K4" s="17"/>
      <c r="L4" s="17"/>
      <c r="M4" s="17"/>
      <c r="N4" s="17"/>
      <c r="O4" s="17"/>
      <c r="P4" s="17"/>
      <c r="Q4" s="17"/>
      <c r="R4" s="7"/>
      <c r="S4" s="18"/>
    </row>
    <row r="5" spans="1:18" ht="15">
      <c r="A5" s="10"/>
      <c r="B5" s="11"/>
      <c r="C5" s="23"/>
      <c r="D5" s="19" t="s">
        <v>6</v>
      </c>
      <c r="E5" s="24"/>
      <c r="F5" s="14"/>
      <c r="G5" s="25"/>
      <c r="I5" s="9"/>
      <c r="J5" s="22"/>
      <c r="K5" s="17"/>
      <c r="L5" s="17"/>
      <c r="M5" s="17"/>
      <c r="N5" s="17"/>
      <c r="O5" s="17"/>
      <c r="P5" s="17"/>
      <c r="Q5" s="17"/>
      <c r="R5" s="7"/>
    </row>
    <row r="6" spans="1:18" ht="15">
      <c r="A6" s="10"/>
      <c r="B6" s="11"/>
      <c r="C6" s="23"/>
      <c r="D6" s="19" t="s">
        <v>7</v>
      </c>
      <c r="E6" s="24"/>
      <c r="F6" s="14"/>
      <c r="G6" s="25"/>
      <c r="I6" s="9"/>
      <c r="J6" s="22"/>
      <c r="K6" s="17"/>
      <c r="L6" s="17"/>
      <c r="M6" s="17"/>
      <c r="N6" s="17"/>
      <c r="O6" s="17"/>
      <c r="P6" s="17"/>
      <c r="Q6" s="17"/>
      <c r="R6" s="7"/>
    </row>
    <row r="7" spans="1:18" ht="15">
      <c r="A7" s="10"/>
      <c r="B7" s="11"/>
      <c r="C7" s="23"/>
      <c r="D7" s="19" t="s">
        <v>8</v>
      </c>
      <c r="E7" s="24"/>
      <c r="F7" s="14"/>
      <c r="G7" s="25"/>
      <c r="I7" s="9"/>
      <c r="J7" s="22"/>
      <c r="K7" s="17"/>
      <c r="L7" s="17"/>
      <c r="M7" s="17"/>
      <c r="N7" s="17"/>
      <c r="O7" s="17"/>
      <c r="P7" s="17"/>
      <c r="Q7" s="17"/>
      <c r="R7" s="7"/>
    </row>
    <row r="8" spans="1:18" ht="15">
      <c r="A8" s="10"/>
      <c r="B8" s="11"/>
      <c r="C8" s="23"/>
      <c r="D8" s="19" t="s">
        <v>9</v>
      </c>
      <c r="E8" s="24"/>
      <c r="F8" s="14"/>
      <c r="G8" s="25"/>
      <c r="I8" s="9"/>
      <c r="J8" s="9"/>
      <c r="K8" s="17"/>
      <c r="L8" s="17"/>
      <c r="M8" s="17"/>
      <c r="N8" s="17"/>
      <c r="O8" s="17"/>
      <c r="P8" s="17"/>
      <c r="Q8" s="17"/>
      <c r="R8" s="7"/>
    </row>
    <row r="9" spans="1:18" ht="15.75" thickBot="1">
      <c r="A9" s="10"/>
      <c r="B9" s="11"/>
      <c r="C9" s="23"/>
      <c r="D9" s="19" t="s">
        <v>10</v>
      </c>
      <c r="E9" s="24"/>
      <c r="F9" s="14"/>
      <c r="G9" s="25"/>
      <c r="I9" s="9"/>
      <c r="J9" s="9"/>
      <c r="K9" s="9"/>
      <c r="L9" s="9"/>
      <c r="M9" s="7"/>
      <c r="N9" s="7"/>
      <c r="O9" s="7"/>
      <c r="P9" s="7"/>
      <c r="Q9" s="7"/>
      <c r="R9" s="7"/>
    </row>
    <row r="10" spans="1:18" ht="15.75" thickTop="1">
      <c r="A10" s="10"/>
      <c r="B10" s="11"/>
      <c r="C10" s="11"/>
      <c r="D10" s="12"/>
      <c r="E10" s="26">
        <f>SUM(E4:E9)</f>
        <v>100000</v>
      </c>
      <c r="F10" s="14"/>
      <c r="G10" s="25"/>
      <c r="I10" s="27"/>
      <c r="J10" s="28"/>
      <c r="K10" s="28"/>
      <c r="L10" s="29" t="s">
        <v>11</v>
      </c>
      <c r="M10" s="29" t="s">
        <v>11</v>
      </c>
      <c r="N10" s="29" t="s">
        <v>11</v>
      </c>
      <c r="O10" s="29" t="s">
        <v>11</v>
      </c>
      <c r="P10" s="29" t="s">
        <v>11</v>
      </c>
      <c r="Q10" s="29" t="s">
        <v>11</v>
      </c>
      <c r="R10" s="30"/>
    </row>
    <row r="11" spans="1:18" ht="15">
      <c r="A11" s="10"/>
      <c r="B11" s="11" t="s">
        <v>12</v>
      </c>
      <c r="C11" s="11"/>
      <c r="D11" s="12"/>
      <c r="E11" s="13"/>
      <c r="F11" s="14"/>
      <c r="G11" s="15"/>
      <c r="I11" s="31"/>
      <c r="J11" s="32"/>
      <c r="K11" s="32"/>
      <c r="L11" s="32">
        <v>1</v>
      </c>
      <c r="M11" s="32">
        <v>2</v>
      </c>
      <c r="N11" s="32">
        <v>3</v>
      </c>
      <c r="O11" s="32">
        <v>4</v>
      </c>
      <c r="P11" s="32">
        <v>5</v>
      </c>
      <c r="Q11" s="32">
        <v>6</v>
      </c>
      <c r="R11" s="33"/>
    </row>
    <row r="12" spans="1:18" ht="15">
      <c r="A12" s="10"/>
      <c r="B12" s="11"/>
      <c r="C12" s="19" t="s">
        <v>13</v>
      </c>
      <c r="D12" s="24">
        <v>1</v>
      </c>
      <c r="E12" s="13"/>
      <c r="F12" s="14"/>
      <c r="G12" s="15"/>
      <c r="I12" s="34"/>
      <c r="J12" s="9" t="s">
        <v>14</v>
      </c>
      <c r="K12" s="9"/>
      <c r="L12" s="9"/>
      <c r="M12" s="9"/>
      <c r="N12" s="9"/>
      <c r="O12" s="9"/>
      <c r="P12" s="9"/>
      <c r="Q12" s="9"/>
      <c r="R12" s="35"/>
    </row>
    <row r="13" spans="1:18" ht="15">
      <c r="A13" s="10"/>
      <c r="B13" s="11"/>
      <c r="C13" s="23"/>
      <c r="D13" s="19" t="s">
        <v>15</v>
      </c>
      <c r="E13" s="24">
        <v>5000</v>
      </c>
      <c r="F13" s="14"/>
      <c r="G13" s="25"/>
      <c r="I13" s="34"/>
      <c r="J13" s="9" t="s">
        <v>16</v>
      </c>
      <c r="K13" s="9"/>
      <c r="L13" s="36">
        <f>IF(L11=$D$3,$E$10,0)</f>
        <v>100000</v>
      </c>
      <c r="M13" s="36">
        <f>IF(M11=$D$3,$E$10,0)</f>
        <v>0</v>
      </c>
      <c r="N13" s="36">
        <f>IF(N11=$D$3,$E$10,0)</f>
        <v>0</v>
      </c>
      <c r="O13" s="36">
        <f>IF(O11=$D$3,$E$10,0)</f>
        <v>0</v>
      </c>
      <c r="P13" s="36">
        <f>IF(P11=$D$3,$E$10,0)</f>
        <v>0</v>
      </c>
      <c r="Q13" s="36"/>
      <c r="R13" s="35"/>
    </row>
    <row r="14" spans="1:18" ht="15">
      <c r="A14" s="10"/>
      <c r="B14" s="11"/>
      <c r="C14" s="23"/>
      <c r="D14" s="19" t="s">
        <v>17</v>
      </c>
      <c r="E14" s="24"/>
      <c r="F14" s="14"/>
      <c r="G14" s="25"/>
      <c r="I14" s="34"/>
      <c r="J14" s="9" t="s">
        <v>12</v>
      </c>
      <c r="K14" s="9"/>
      <c r="L14" s="36">
        <f>IF(L11=$D$12,$E$17,0)</f>
        <v>125000</v>
      </c>
      <c r="M14" s="36">
        <f>IF(M11=$D$12,$E$17,0)</f>
        <v>0</v>
      </c>
      <c r="N14" s="36">
        <f>IF(N11=$D$12,$E$17,0)</f>
        <v>0</v>
      </c>
      <c r="O14" s="36">
        <f>IF(O11=$D$12,$E$17,0)</f>
        <v>0</v>
      </c>
      <c r="P14" s="36">
        <f>IF(P11=$D$12,$E$17,0)</f>
        <v>0</v>
      </c>
      <c r="Q14" s="36"/>
      <c r="R14" s="35"/>
    </row>
    <row r="15" spans="1:18" ht="15">
      <c r="A15" s="10"/>
      <c r="B15" s="11"/>
      <c r="C15" s="23"/>
      <c r="D15" s="19" t="s">
        <v>18</v>
      </c>
      <c r="E15" s="24">
        <v>120000</v>
      </c>
      <c r="F15" s="14"/>
      <c r="G15" s="25"/>
      <c r="I15" s="34"/>
      <c r="J15" s="9" t="s">
        <v>19</v>
      </c>
      <c r="K15" s="9"/>
      <c r="L15" s="36">
        <f>IF(L11&gt;=$E$23,$E$24,0)</f>
        <v>0</v>
      </c>
      <c r="M15" s="36">
        <f aca="true" t="shared" si="0" ref="M15:P15">IF(M11&gt;=$E$23,$E$24,0)</f>
        <v>2000</v>
      </c>
      <c r="N15" s="36">
        <f t="shared" si="0"/>
        <v>2000</v>
      </c>
      <c r="O15" s="36">
        <f t="shared" si="0"/>
        <v>2000</v>
      </c>
      <c r="P15" s="36">
        <f t="shared" si="0"/>
        <v>2000</v>
      </c>
      <c r="Q15" s="36"/>
      <c r="R15" s="35"/>
    </row>
    <row r="16" spans="1:18" ht="15">
      <c r="A16" s="10"/>
      <c r="B16" s="11"/>
      <c r="C16" s="23"/>
      <c r="D16" s="19" t="s">
        <v>10</v>
      </c>
      <c r="E16" s="24"/>
      <c r="F16" s="14"/>
      <c r="G16" s="25"/>
      <c r="I16" s="34"/>
      <c r="J16" s="9"/>
      <c r="K16" s="9"/>
      <c r="L16" s="36"/>
      <c r="M16" s="36"/>
      <c r="N16" s="36"/>
      <c r="O16" s="36"/>
      <c r="P16" s="36"/>
      <c r="Q16" s="36"/>
      <c r="R16" s="35"/>
    </row>
    <row r="17" spans="1:18" ht="15.75" thickBot="1">
      <c r="A17" s="10"/>
      <c r="B17" s="11"/>
      <c r="C17" s="11"/>
      <c r="D17" s="12"/>
      <c r="E17" s="37">
        <f>SUM(E13:E16)</f>
        <v>125000</v>
      </c>
      <c r="F17" s="14"/>
      <c r="G17" s="25"/>
      <c r="I17" s="34"/>
      <c r="J17" s="9"/>
      <c r="K17" s="9"/>
      <c r="L17" s="38">
        <f aca="true" t="shared" si="1" ref="L17:Q17">SUM(L13:L16)</f>
        <v>225000</v>
      </c>
      <c r="M17" s="38">
        <f t="shared" si="1"/>
        <v>2000</v>
      </c>
      <c r="N17" s="38">
        <f t="shared" si="1"/>
        <v>2000</v>
      </c>
      <c r="O17" s="38">
        <f t="shared" si="1"/>
        <v>2000</v>
      </c>
      <c r="P17" s="38">
        <f t="shared" si="1"/>
        <v>2000</v>
      </c>
      <c r="Q17" s="38">
        <f t="shared" si="1"/>
        <v>0</v>
      </c>
      <c r="R17" s="35"/>
    </row>
    <row r="18" spans="1:18" ht="15.75" thickBot="1">
      <c r="A18" s="10"/>
      <c r="B18" s="11"/>
      <c r="C18" s="11"/>
      <c r="D18" s="12"/>
      <c r="E18" s="39">
        <f>+E10+E17</f>
        <v>225000</v>
      </c>
      <c r="F18" s="14"/>
      <c r="G18" s="25"/>
      <c r="I18" s="34"/>
      <c r="J18" s="9" t="s">
        <v>20</v>
      </c>
      <c r="K18" s="9"/>
      <c r="L18" s="40"/>
      <c r="M18" s="40"/>
      <c r="N18" s="40"/>
      <c r="O18" s="40"/>
      <c r="P18" s="40"/>
      <c r="Q18" s="40"/>
      <c r="R18" s="35"/>
    </row>
    <row r="19" spans="1:18" ht="15.75" thickTop="1">
      <c r="A19" s="10"/>
      <c r="B19" s="11"/>
      <c r="C19" s="11"/>
      <c r="D19" s="41" t="s">
        <v>21</v>
      </c>
      <c r="E19" s="42">
        <f>0.25*E10</f>
        <v>25000</v>
      </c>
      <c r="F19" s="14"/>
      <c r="G19" s="25"/>
      <c r="I19" s="34"/>
      <c r="J19" s="9" t="s">
        <v>22</v>
      </c>
      <c r="K19" s="9"/>
      <c r="L19" s="36">
        <f>IF(L11=$D$3,$G$27,0)</f>
        <v>100000</v>
      </c>
      <c r="M19" s="36">
        <f>IF(M11=$D$3,$G$27,0)</f>
        <v>0</v>
      </c>
      <c r="N19" s="36">
        <f>IF(N11=$D$3,$G$27,0)</f>
        <v>0</v>
      </c>
      <c r="O19" s="36">
        <f>IF(O11=$D$3,$G$27,0)</f>
        <v>0</v>
      </c>
      <c r="P19" s="36">
        <f>IF(P11=$D$3,$G$27,0)</f>
        <v>0</v>
      </c>
      <c r="Q19" s="36"/>
      <c r="R19" s="43"/>
    </row>
    <row r="20" spans="1:18" ht="15">
      <c r="A20" s="10"/>
      <c r="B20" s="11"/>
      <c r="C20" s="11"/>
      <c r="D20" s="41" t="s">
        <v>23</v>
      </c>
      <c r="E20" s="26">
        <f>E18-E19</f>
        <v>200000</v>
      </c>
      <c r="F20" s="44">
        <v>0.02</v>
      </c>
      <c r="G20" s="45">
        <f>+E20*F20</f>
        <v>4000</v>
      </c>
      <c r="I20" s="34"/>
      <c r="J20" s="9" t="s">
        <v>24</v>
      </c>
      <c r="K20" s="46"/>
      <c r="L20" s="36">
        <f>(IF((L11-$D$3-$G$30)&gt;=0,$G$27/$G$29,0))</f>
        <v>0</v>
      </c>
      <c r="M20" s="36">
        <f>(IF((M11-$D$3-$G$30)&gt;=0,$G$27/$G$29,0))</f>
        <v>5000</v>
      </c>
      <c r="N20" s="36">
        <f>(IF((N11-$D$3-$G$30)&gt;=0,$G$27/$G$29,0))</f>
        <v>5000</v>
      </c>
      <c r="O20" s="36">
        <f>(IF((O11-$D$3-$G$30)&gt;=0,$G$27/$G$29,0))</f>
        <v>5000</v>
      </c>
      <c r="P20" s="36">
        <f>(IF((P11-$D$3-$G$30)&gt;=0,$G$27/$G$29,0))</f>
        <v>5000</v>
      </c>
      <c r="Q20" s="36"/>
      <c r="R20" s="43"/>
    </row>
    <row r="21" spans="1:18" ht="15">
      <c r="A21" s="10"/>
      <c r="B21" s="11"/>
      <c r="C21" s="11"/>
      <c r="D21" s="41"/>
      <c r="E21" s="47"/>
      <c r="F21" s="47"/>
      <c r="G21" s="48"/>
      <c r="I21" s="34"/>
      <c r="J21" s="9" t="s">
        <v>25</v>
      </c>
      <c r="K21" s="9"/>
      <c r="L21" s="36">
        <f>+L19-L20</f>
        <v>100000</v>
      </c>
      <c r="M21" s="36">
        <f>+L21+M19-M20</f>
        <v>95000</v>
      </c>
      <c r="N21" s="36">
        <f aca="true" t="shared" si="2" ref="N21:P21">+M21+N19-N20</f>
        <v>90000</v>
      </c>
      <c r="O21" s="36">
        <f t="shared" si="2"/>
        <v>85000</v>
      </c>
      <c r="P21" s="36">
        <f t="shared" si="2"/>
        <v>80000</v>
      </c>
      <c r="Q21" s="36"/>
      <c r="R21" s="43"/>
    </row>
    <row r="22" spans="1:18" ht="15">
      <c r="A22" s="10"/>
      <c r="B22" s="11" t="s">
        <v>19</v>
      </c>
      <c r="C22" s="11"/>
      <c r="D22" s="12"/>
      <c r="E22" s="13"/>
      <c r="F22" s="14"/>
      <c r="G22" s="15"/>
      <c r="I22" s="34"/>
      <c r="J22" s="9" t="s">
        <v>26</v>
      </c>
      <c r="K22" s="46"/>
      <c r="L22" s="36">
        <f>(L21+K21)/2*$G$31</f>
        <v>2500</v>
      </c>
      <c r="M22" s="36">
        <f aca="true" t="shared" si="3" ref="M22:P22">(M21+L21)/2*$G$31</f>
        <v>4875</v>
      </c>
      <c r="N22" s="36">
        <f t="shared" si="3"/>
        <v>4625</v>
      </c>
      <c r="O22" s="36">
        <f t="shared" si="3"/>
        <v>4375</v>
      </c>
      <c r="P22" s="36">
        <f t="shared" si="3"/>
        <v>4125</v>
      </c>
      <c r="Q22" s="36"/>
      <c r="R22" s="35"/>
    </row>
    <row r="23" spans="1:150" ht="15.75" thickBot="1">
      <c r="A23" s="10"/>
      <c r="B23" s="11"/>
      <c r="C23" s="11" t="s">
        <v>27</v>
      </c>
      <c r="D23" s="12"/>
      <c r="E23" s="24">
        <v>2</v>
      </c>
      <c r="F23" s="14"/>
      <c r="G23" s="15"/>
      <c r="I23" s="34"/>
      <c r="J23" s="9"/>
      <c r="K23" s="9"/>
      <c r="L23" s="38">
        <f>L19-L20-L22</f>
        <v>97500</v>
      </c>
      <c r="M23" s="38">
        <f aca="true" t="shared" si="4" ref="M23:Q23">M19-M20-M22</f>
        <v>-9875</v>
      </c>
      <c r="N23" s="38">
        <f>N19-N20-N22</f>
        <v>-9625</v>
      </c>
      <c r="O23" s="38">
        <f t="shared" si="4"/>
        <v>-9375</v>
      </c>
      <c r="P23" s="38">
        <f t="shared" si="4"/>
        <v>-9125</v>
      </c>
      <c r="Q23" s="38">
        <f t="shared" si="4"/>
        <v>0</v>
      </c>
      <c r="R23" s="35"/>
      <c r="ET23" s="49" t="s">
        <v>28</v>
      </c>
    </row>
    <row r="24" spans="1:18" ht="15">
      <c r="A24" s="10"/>
      <c r="B24" s="11"/>
      <c r="C24" s="11"/>
      <c r="D24" s="50" t="s">
        <v>29</v>
      </c>
      <c r="E24" s="24">
        <v>2000</v>
      </c>
      <c r="F24" s="51">
        <v>0.25</v>
      </c>
      <c r="G24" s="52">
        <f aca="true" t="shared" si="5" ref="G24">E24*F24</f>
        <v>500</v>
      </c>
      <c r="I24" s="34"/>
      <c r="J24" s="9" t="s">
        <v>30</v>
      </c>
      <c r="K24" s="9"/>
      <c r="L24" s="9"/>
      <c r="M24" s="9"/>
      <c r="N24" s="9"/>
      <c r="O24" s="9"/>
      <c r="P24" s="9"/>
      <c r="Q24" s="9"/>
      <c r="R24" s="35"/>
    </row>
    <row r="25" spans="1:18" ht="15">
      <c r="A25" s="10"/>
      <c r="B25" s="11"/>
      <c r="C25" s="11"/>
      <c r="D25" s="12"/>
      <c r="E25" s="13"/>
      <c r="F25" s="14"/>
      <c r="G25" s="15"/>
      <c r="I25" s="34"/>
      <c r="J25" s="9"/>
      <c r="K25" s="9"/>
      <c r="L25" s="9"/>
      <c r="M25" s="9"/>
      <c r="N25" s="9"/>
      <c r="O25" s="9"/>
      <c r="P25" s="9"/>
      <c r="Q25" s="9"/>
      <c r="R25" s="35"/>
    </row>
    <row r="26" spans="1:18" ht="15.75">
      <c r="A26" s="53" t="s">
        <v>31</v>
      </c>
      <c r="B26" s="54"/>
      <c r="C26" s="54"/>
      <c r="D26" s="55"/>
      <c r="E26" s="56"/>
      <c r="F26" s="57"/>
      <c r="G26" s="58"/>
      <c r="I26" s="34"/>
      <c r="J26" s="9" t="s">
        <v>32</v>
      </c>
      <c r="K26" s="9"/>
      <c r="L26" s="40">
        <f>IF(L11&gt;=$D$45,$G$54,0)*(1+$G$65)^(L11-1)</f>
        <v>0</v>
      </c>
      <c r="M26" s="40">
        <f>IF(M11&gt;=$D$45,$G$54,0)*(1+$G$65)^(M11-1)</f>
        <v>22411.199999999997</v>
      </c>
      <c r="N26" s="40">
        <f aca="true" t="shared" si="6" ref="N26:P26">IF(N11&gt;=$D$45,$G$54,0)*(1+$G$65)^(N11-1)</f>
        <v>22747.367999999995</v>
      </c>
      <c r="O26" s="40">
        <f t="shared" si="6"/>
        <v>23088.578519999992</v>
      </c>
      <c r="P26" s="40">
        <f t="shared" si="6"/>
        <v>23434.90719779999</v>
      </c>
      <c r="Q26" s="40"/>
      <c r="R26" s="43"/>
    </row>
    <row r="27" spans="1:18" ht="15">
      <c r="A27" s="10"/>
      <c r="B27" s="11" t="s">
        <v>33</v>
      </c>
      <c r="C27" s="23"/>
      <c r="D27" s="12"/>
      <c r="E27" s="59"/>
      <c r="F27" s="60"/>
      <c r="G27" s="61">
        <v>100000</v>
      </c>
      <c r="I27" s="34"/>
      <c r="J27" s="9"/>
      <c r="K27" s="9"/>
      <c r="L27" s="9"/>
      <c r="M27" s="9"/>
      <c r="N27" s="9"/>
      <c r="O27" s="9"/>
      <c r="P27" s="9"/>
      <c r="Q27" s="9"/>
      <c r="R27" s="43"/>
    </row>
    <row r="28" spans="1:18" ht="15">
      <c r="A28" s="10"/>
      <c r="B28" s="11"/>
      <c r="C28" s="11"/>
      <c r="D28" s="12"/>
      <c r="E28" s="59"/>
      <c r="F28" s="14"/>
      <c r="G28" s="15"/>
      <c r="I28" s="34"/>
      <c r="J28" s="9" t="s">
        <v>34</v>
      </c>
      <c r="K28" s="9"/>
      <c r="L28" s="40">
        <f>-IF(L11&gt;=$D$45,$G$39,0)*(1+$G$65)^(L11-1)</f>
        <v>0</v>
      </c>
      <c r="M28" s="40">
        <f>-IF(M11&gt;=$D$45,$G$39,0)*(1+$G$65)^(M11-1)</f>
        <v>-1725.4999999999998</v>
      </c>
      <c r="N28" s="40">
        <f aca="true" t="shared" si="7" ref="N28:P28">-IF(N11&gt;=$D$45,$G$39,0)*(1+$G$65)^(N11-1)</f>
        <v>-1751.3824999999995</v>
      </c>
      <c r="O28" s="40">
        <f t="shared" si="7"/>
        <v>-1777.6532374999992</v>
      </c>
      <c r="P28" s="40">
        <f t="shared" si="7"/>
        <v>-1804.318036062499</v>
      </c>
      <c r="Q28" s="40"/>
      <c r="R28" s="35"/>
    </row>
    <row r="29" spans="1:18" ht="15">
      <c r="A29" s="10"/>
      <c r="B29" s="11" t="s">
        <v>35</v>
      </c>
      <c r="C29" s="11"/>
      <c r="D29" s="12"/>
      <c r="E29" s="62" t="s">
        <v>36</v>
      </c>
      <c r="F29" s="14"/>
      <c r="G29" s="63">
        <v>20</v>
      </c>
      <c r="I29" s="34"/>
      <c r="J29" s="9" t="s">
        <v>37</v>
      </c>
      <c r="K29" s="9"/>
      <c r="L29" s="40"/>
      <c r="M29" s="40"/>
      <c r="N29" s="40"/>
      <c r="O29" s="40"/>
      <c r="P29" s="40"/>
      <c r="Q29" s="40"/>
      <c r="R29" s="35"/>
    </row>
    <row r="30" spans="1:18" ht="15">
      <c r="A30" s="10"/>
      <c r="B30" s="11"/>
      <c r="C30" s="11"/>
      <c r="D30" s="12"/>
      <c r="E30" s="62" t="s">
        <v>38</v>
      </c>
      <c r="F30" s="14"/>
      <c r="G30" s="63">
        <v>1</v>
      </c>
      <c r="I30" s="34"/>
      <c r="J30" s="9" t="s">
        <v>39</v>
      </c>
      <c r="K30" s="9"/>
      <c r="L30" s="40"/>
      <c r="M30" s="40"/>
      <c r="N30" s="40"/>
      <c r="O30" s="40"/>
      <c r="P30" s="40"/>
      <c r="Q30" s="40"/>
      <c r="R30" s="35"/>
    </row>
    <row r="31" spans="1:18" ht="15">
      <c r="A31" s="10"/>
      <c r="B31" s="11"/>
      <c r="C31" s="11"/>
      <c r="D31" s="12"/>
      <c r="E31" s="62" t="s">
        <v>40</v>
      </c>
      <c r="F31" s="14"/>
      <c r="G31" s="64">
        <v>0.05</v>
      </c>
      <c r="I31" s="34"/>
      <c r="J31" s="9" t="s">
        <v>41</v>
      </c>
      <c r="K31" s="9"/>
      <c r="L31" s="40">
        <f>-IF(L11&gt;=$E$3,$G$42,0)*(1+$G$65)^(L11-1)</f>
        <v>-2000</v>
      </c>
      <c r="M31" s="40">
        <f>-IF(M11&gt;=$E$3,$G$42,0)*(1+$G$65)^(M11-1)</f>
        <v>-2029.9999999999998</v>
      </c>
      <c r="N31" s="40">
        <f>-IF(N11&gt;=$E$3,$G$42,0)*(1+$G$65)^(N11-1)</f>
        <v>-2060.4499999999994</v>
      </c>
      <c r="O31" s="40">
        <f>-IF(O11&gt;=$E$3,$G$42,0)*(1+$G$65)^(O11-1)</f>
        <v>-2091.356749999999</v>
      </c>
      <c r="P31" s="40">
        <f>-IF(P11&gt;=$E$3,$G$42,0)*(1+$G$65)^(P11-1)</f>
        <v>-2122.7271012499987</v>
      </c>
      <c r="Q31" s="40"/>
      <c r="R31" s="35"/>
    </row>
    <row r="32" spans="1:18" ht="15">
      <c r="A32" s="10"/>
      <c r="B32" s="11"/>
      <c r="C32" s="11"/>
      <c r="D32" s="12"/>
      <c r="E32" s="13"/>
      <c r="F32" s="14"/>
      <c r="G32" s="15"/>
      <c r="I32" s="34"/>
      <c r="J32" s="9"/>
      <c r="K32" s="9"/>
      <c r="L32" s="40"/>
      <c r="M32" s="40"/>
      <c r="N32" s="40"/>
      <c r="O32" s="40"/>
      <c r="P32" s="40"/>
      <c r="Q32" s="40"/>
      <c r="R32" s="35"/>
    </row>
    <row r="33" spans="1:18" ht="15.75">
      <c r="A33" s="53" t="s">
        <v>42</v>
      </c>
      <c r="B33" s="54"/>
      <c r="C33" s="54"/>
      <c r="D33" s="54"/>
      <c r="E33" s="54"/>
      <c r="F33" s="57"/>
      <c r="G33" s="58"/>
      <c r="I33" s="34"/>
      <c r="J33" s="65" t="s">
        <v>43</v>
      </c>
      <c r="K33" s="9"/>
      <c r="L33" s="66">
        <f>SUM(L26:L31)</f>
        <v>-2000</v>
      </c>
      <c r="M33" s="66">
        <f aca="true" t="shared" si="8" ref="M33:Q33">SUM(M26:M31)</f>
        <v>18655.699999999997</v>
      </c>
      <c r="N33" s="66">
        <f t="shared" si="8"/>
        <v>18935.535499999994</v>
      </c>
      <c r="O33" s="66">
        <f t="shared" si="8"/>
        <v>19219.568532499994</v>
      </c>
      <c r="P33" s="66">
        <f t="shared" si="8"/>
        <v>19507.862060487492</v>
      </c>
      <c r="Q33" s="66">
        <f t="shared" si="8"/>
        <v>0</v>
      </c>
      <c r="R33" s="35"/>
    </row>
    <row r="34" spans="1:18" ht="15.75">
      <c r="A34" s="10"/>
      <c r="B34" s="11" t="s">
        <v>34</v>
      </c>
      <c r="C34" s="11"/>
      <c r="D34" s="19"/>
      <c r="E34" s="19"/>
      <c r="F34" s="14"/>
      <c r="G34" s="25"/>
      <c r="H34" s="67"/>
      <c r="I34" s="34"/>
      <c r="J34" s="65"/>
      <c r="K34" s="9"/>
      <c r="L34" s="40"/>
      <c r="M34" s="40"/>
      <c r="N34" s="40"/>
      <c r="O34" s="40"/>
      <c r="P34" s="40"/>
      <c r="Q34" s="40"/>
      <c r="R34" s="35"/>
    </row>
    <row r="35" spans="1:19" s="68" customFormat="1" ht="15.75">
      <c r="A35" s="10"/>
      <c r="B35" s="11"/>
      <c r="C35" s="11" t="s">
        <v>44</v>
      </c>
      <c r="D35" s="19"/>
      <c r="E35" s="19"/>
      <c r="F35" s="14"/>
      <c r="G35" s="61">
        <v>200</v>
      </c>
      <c r="H35" s="7"/>
      <c r="I35" s="34"/>
      <c r="J35" s="9" t="s">
        <v>45</v>
      </c>
      <c r="K35" s="9"/>
      <c r="L35" s="40">
        <f>-IF(L11&gt;=$D$12,IF((1/$F$20)&gt;=(L11-$D$12+1),$G$20,0),0)-IF(L11&gt;=$E$23,IF((L11-$E$23+1)&lt;(1/$F$24),$G$24*(L11-$E$23+1),$G$24*(1/$F$24)),0)</f>
        <v>-4000</v>
      </c>
      <c r="M35" s="40">
        <f>-IF(M11&gt;=$D$12,IF((1/$F$20)&gt;=(M11-$D$12+1),$G$20,0),0)-IF(M11&gt;=$E$23,IF((M11-$E$23+1)&lt;(1/$F$24),$G$24*(M11-$E$23+1),$G$24*(1/$F$24)),0)</f>
        <v>-4500</v>
      </c>
      <c r="N35" s="40">
        <f>-IF(N11&gt;=$D$12,IF((1/$F$20)&gt;=(N11-$D$12+1),$G$20,0),0)-IF(N11&gt;=$E$23,IF((N11-$E$23+1)&lt;(1/$F$24),$G$24*(N11-$E$23+1),$G$24*(1/$F$24)),0)</f>
        <v>-5000</v>
      </c>
      <c r="O35" s="40">
        <f>-IF(O11&gt;=$D$12,IF((1/$F$20)&gt;=(O11-$D$12+1),$G$20,0),0)-IF(O11&gt;=$E$23,IF((O11-$E$23+1)&lt;(1/$F$24),$G$24*(O11-$E$23+1),$G$24*(1/$F$24)),0)</f>
        <v>-5500</v>
      </c>
      <c r="P35" s="40">
        <f>-IF(P11&gt;=$D$12,IF((1/$F$20)&gt;=(P11-$D$12+1),$G$20,0),0)-IF(P11&gt;=$E$23,IF((P11-$E$23+1)&lt;(1/$F$24),$G$24*(P11-$E$23+1),$G$24*(1/$F$24)),0)</f>
        <v>-6000</v>
      </c>
      <c r="Q35" s="40"/>
      <c r="R35" s="35"/>
      <c r="S35"/>
    </row>
    <row r="36" spans="1:18" ht="15">
      <c r="A36" s="10"/>
      <c r="B36" s="11"/>
      <c r="C36" s="69" t="s">
        <v>46</v>
      </c>
      <c r="D36" s="19"/>
      <c r="E36" s="19"/>
      <c r="F36" s="14"/>
      <c r="G36" s="61">
        <v>1000</v>
      </c>
      <c r="I36" s="34"/>
      <c r="J36" s="9"/>
      <c r="K36" s="9"/>
      <c r="L36" s="9"/>
      <c r="M36" s="9"/>
      <c r="N36" s="9"/>
      <c r="O36" s="9"/>
      <c r="P36" s="9"/>
      <c r="Q36" s="9"/>
      <c r="R36" s="35"/>
    </row>
    <row r="37" spans="1:19" ht="15.75">
      <c r="A37" s="10"/>
      <c r="B37" s="11"/>
      <c r="C37" s="69" t="s">
        <v>47</v>
      </c>
      <c r="D37" s="19"/>
      <c r="E37" s="19"/>
      <c r="F37" s="14"/>
      <c r="G37" s="61">
        <v>500</v>
      </c>
      <c r="I37" s="34"/>
      <c r="J37" s="65" t="s">
        <v>48</v>
      </c>
      <c r="K37" s="9"/>
      <c r="L37" s="70">
        <f aca="true" t="shared" si="9" ref="L37:Q37">SUM(L33:L35)</f>
        <v>-6000</v>
      </c>
      <c r="M37" s="70">
        <f t="shared" si="9"/>
        <v>14155.699999999997</v>
      </c>
      <c r="N37" s="70">
        <f t="shared" si="9"/>
        <v>13935.535499999994</v>
      </c>
      <c r="O37" s="70">
        <f t="shared" si="9"/>
        <v>13719.568532499994</v>
      </c>
      <c r="P37" s="70">
        <f t="shared" si="9"/>
        <v>13507.862060487492</v>
      </c>
      <c r="Q37" s="70">
        <f t="shared" si="9"/>
        <v>0</v>
      </c>
      <c r="R37" s="35"/>
      <c r="S37" s="68"/>
    </row>
    <row r="38" spans="1:18" ht="15">
      <c r="A38" s="10"/>
      <c r="B38" s="11"/>
      <c r="C38" s="19" t="s">
        <v>10</v>
      </c>
      <c r="D38" s="19"/>
      <c r="E38" s="19"/>
      <c r="F38" s="14"/>
      <c r="G38" s="61"/>
      <c r="I38" s="34"/>
      <c r="J38" s="65"/>
      <c r="K38" s="9"/>
      <c r="L38" s="36"/>
      <c r="M38" s="36"/>
      <c r="N38" s="36"/>
      <c r="O38" s="36"/>
      <c r="P38" s="36"/>
      <c r="Q38" s="36"/>
      <c r="R38" s="35"/>
    </row>
    <row r="39" spans="1:18" ht="15">
      <c r="A39" s="10"/>
      <c r="B39" s="11"/>
      <c r="C39" s="11"/>
      <c r="D39" s="12"/>
      <c r="E39" s="19"/>
      <c r="F39" s="14"/>
      <c r="G39" s="52">
        <f>SUM(G34:G38)</f>
        <v>1700</v>
      </c>
      <c r="I39" s="34"/>
      <c r="J39" s="9" t="s">
        <v>49</v>
      </c>
      <c r="K39" s="9"/>
      <c r="L39" s="36">
        <f>-L22</f>
        <v>-2500</v>
      </c>
      <c r="M39" s="36">
        <f>-M22</f>
        <v>-4875</v>
      </c>
      <c r="N39" s="36">
        <f>-N22</f>
        <v>-4625</v>
      </c>
      <c r="O39" s="36">
        <f>-O22</f>
        <v>-4375</v>
      </c>
      <c r="P39" s="36">
        <f>-P22</f>
        <v>-4125</v>
      </c>
      <c r="Q39" s="36"/>
      <c r="R39" s="35"/>
    </row>
    <row r="40" spans="1:18" ht="15">
      <c r="A40" s="10"/>
      <c r="B40" s="11" t="s">
        <v>41</v>
      </c>
      <c r="C40" s="11"/>
      <c r="D40" s="12"/>
      <c r="E40" s="13"/>
      <c r="F40" s="14"/>
      <c r="G40" s="25"/>
      <c r="I40" s="34"/>
      <c r="J40" s="9"/>
      <c r="K40" s="9"/>
      <c r="L40" s="9"/>
      <c r="M40" s="9"/>
      <c r="N40" s="9"/>
      <c r="O40" s="9"/>
      <c r="P40" s="9"/>
      <c r="Q40" s="9"/>
      <c r="R40" s="35"/>
    </row>
    <row r="41" spans="1:18" ht="15">
      <c r="A41" s="10"/>
      <c r="B41" s="11"/>
      <c r="C41" s="11" t="s">
        <v>50</v>
      </c>
      <c r="D41" s="12"/>
      <c r="E41" s="13"/>
      <c r="F41" s="14"/>
      <c r="G41" s="61">
        <v>2000</v>
      </c>
      <c r="I41" s="34"/>
      <c r="J41" s="65" t="s">
        <v>51</v>
      </c>
      <c r="K41" s="9"/>
      <c r="L41" s="70">
        <f aca="true" t="shared" si="10" ref="L41:Q41">SUM(L37:L40)</f>
        <v>-8500</v>
      </c>
      <c r="M41" s="70">
        <f t="shared" si="10"/>
        <v>9280.699999999997</v>
      </c>
      <c r="N41" s="70">
        <f t="shared" si="10"/>
        <v>9310.535499999994</v>
      </c>
      <c r="O41" s="70">
        <f t="shared" si="10"/>
        <v>9344.568532499994</v>
      </c>
      <c r="P41" s="70">
        <f t="shared" si="10"/>
        <v>9382.862060487492</v>
      </c>
      <c r="Q41" s="70">
        <f t="shared" si="10"/>
        <v>0</v>
      </c>
      <c r="R41" s="35"/>
    </row>
    <row r="42" spans="1:18" ht="15">
      <c r="A42" s="10"/>
      <c r="B42" s="11"/>
      <c r="C42" s="11"/>
      <c r="D42" s="12"/>
      <c r="E42" s="13"/>
      <c r="F42" s="14"/>
      <c r="G42" s="52">
        <f>SUM(G41)</f>
        <v>2000</v>
      </c>
      <c r="I42" s="34"/>
      <c r="J42" s="65"/>
      <c r="K42" s="9"/>
      <c r="L42" s="36"/>
      <c r="M42" s="36"/>
      <c r="N42" s="36"/>
      <c r="O42" s="36"/>
      <c r="P42" s="36"/>
      <c r="Q42" s="36"/>
      <c r="R42" s="35"/>
    </row>
    <row r="43" spans="1:18" ht="15.75" thickBot="1">
      <c r="A43" s="10"/>
      <c r="B43" s="11"/>
      <c r="C43" s="11"/>
      <c r="D43" s="12"/>
      <c r="E43" s="13"/>
      <c r="F43" s="14"/>
      <c r="G43" s="15"/>
      <c r="I43" s="34"/>
      <c r="J43" s="9" t="s">
        <v>52</v>
      </c>
      <c r="K43" s="9"/>
      <c r="L43" s="40">
        <f>-IF(L41&gt;0,$D$56*L41,0)</f>
        <v>0</v>
      </c>
      <c r="M43" s="40">
        <f>-IF(M41&gt;0,$D$56*M41,0)</f>
        <v>-1948.9469999999992</v>
      </c>
      <c r="N43" s="40">
        <f>-IF(N41&gt;0,$D$56*N41,0)</f>
        <v>-1955.2124549999987</v>
      </c>
      <c r="O43" s="40">
        <f>-IF(O41&gt;0,$D$56*O41,0)</f>
        <v>-1962.3593918249987</v>
      </c>
      <c r="P43" s="40">
        <f>-IF(P41&gt;0,$D$56*P41,0)</f>
        <v>-1970.4010327023734</v>
      </c>
      <c r="Q43" s="71"/>
      <c r="R43" s="35"/>
    </row>
    <row r="44" spans="1:18" ht="16.5" thickTop="1">
      <c r="A44" s="1" t="s">
        <v>53</v>
      </c>
      <c r="B44" s="72"/>
      <c r="C44" s="72"/>
      <c r="D44" s="72"/>
      <c r="E44" s="73"/>
      <c r="F44" s="74"/>
      <c r="G44" s="75"/>
      <c r="I44" s="34"/>
      <c r="J44" s="9"/>
      <c r="K44" s="9"/>
      <c r="L44" s="9"/>
      <c r="M44" s="9"/>
      <c r="N44" s="9"/>
      <c r="O44" s="9"/>
      <c r="P44" s="9"/>
      <c r="Q44" s="9"/>
      <c r="R44" s="35"/>
    </row>
    <row r="45" spans="1:18" ht="16.5" thickBot="1">
      <c r="A45" s="76"/>
      <c r="B45" s="11" t="s">
        <v>54</v>
      </c>
      <c r="C45" s="77"/>
      <c r="D45" s="24">
        <v>2</v>
      </c>
      <c r="E45" s="78"/>
      <c r="F45" s="78"/>
      <c r="G45" s="79"/>
      <c r="I45" s="34"/>
      <c r="J45" s="65" t="s">
        <v>55</v>
      </c>
      <c r="K45" s="9"/>
      <c r="L45" s="38">
        <f aca="true" t="shared" si="11" ref="L45:Q45">SUM(L41:L43)</f>
        <v>-8500</v>
      </c>
      <c r="M45" s="38">
        <f t="shared" si="11"/>
        <v>7331.752999999998</v>
      </c>
      <c r="N45" s="38">
        <f t="shared" si="11"/>
        <v>7355.323044999996</v>
      </c>
      <c r="O45" s="38">
        <f t="shared" si="11"/>
        <v>7382.209140674995</v>
      </c>
      <c r="P45" s="38">
        <f t="shared" si="11"/>
        <v>7412.461027785119</v>
      </c>
      <c r="Q45" s="38">
        <f t="shared" si="11"/>
        <v>0</v>
      </c>
      <c r="R45" s="35"/>
    </row>
    <row r="46" spans="1:18" ht="16.5" thickBot="1">
      <c r="A46" s="76"/>
      <c r="B46" s="77"/>
      <c r="C46" s="11"/>
      <c r="D46" s="78"/>
      <c r="E46" s="78"/>
      <c r="F46" s="78"/>
      <c r="G46" s="79"/>
      <c r="I46" s="80"/>
      <c r="J46" s="81"/>
      <c r="K46" s="81"/>
      <c r="L46" s="81"/>
      <c r="M46" s="81"/>
      <c r="N46" s="81"/>
      <c r="O46" s="81"/>
      <c r="P46" s="81"/>
      <c r="Q46" s="81"/>
      <c r="R46" s="82"/>
    </row>
    <row r="47" spans="1:18" ht="16.5" thickBot="1" thickTop="1">
      <c r="A47" s="83" t="s">
        <v>56</v>
      </c>
      <c r="B47" s="23"/>
      <c r="C47" s="23"/>
      <c r="D47" s="84"/>
      <c r="E47" s="85"/>
      <c r="F47" s="86"/>
      <c r="G47" s="87"/>
      <c r="I47" s="9"/>
      <c r="J47" s="22"/>
      <c r="K47" s="46"/>
      <c r="L47" s="9"/>
      <c r="M47" s="88"/>
      <c r="N47" s="8"/>
      <c r="O47" s="8"/>
      <c r="P47" s="8"/>
      <c r="Q47" s="8"/>
      <c r="R47" s="7"/>
    </row>
    <row r="48" spans="1:18" ht="25.5" thickTop="1">
      <c r="A48" s="89"/>
      <c r="B48" s="23"/>
      <c r="C48" s="90" t="s">
        <v>57</v>
      </c>
      <c r="D48" s="91" t="s">
        <v>58</v>
      </c>
      <c r="E48" s="90" t="s">
        <v>59</v>
      </c>
      <c r="F48" s="92" t="s">
        <v>60</v>
      </c>
      <c r="G48" s="93" t="s">
        <v>61</v>
      </c>
      <c r="I48" s="27"/>
      <c r="J48" s="28"/>
      <c r="K48" s="28"/>
      <c r="L48" s="94"/>
      <c r="M48" s="94"/>
      <c r="N48" s="94"/>
      <c r="O48" s="94"/>
      <c r="P48" s="94"/>
      <c r="Q48" s="94"/>
      <c r="R48" s="30"/>
    </row>
    <row r="49" spans="1:18" ht="15">
      <c r="A49" s="89" t="s">
        <v>62</v>
      </c>
      <c r="B49" s="23"/>
      <c r="C49" s="95">
        <v>1</v>
      </c>
      <c r="D49" s="95">
        <v>900</v>
      </c>
      <c r="E49" s="96">
        <v>0.8</v>
      </c>
      <c r="F49" s="97">
        <f>D49*12*E49</f>
        <v>8640</v>
      </c>
      <c r="G49" s="87">
        <f>F49*C49</f>
        <v>8640</v>
      </c>
      <c r="I49" s="34"/>
      <c r="J49" s="9" t="s">
        <v>63</v>
      </c>
      <c r="K49" s="9"/>
      <c r="L49" s="40">
        <f>+L37+L43</f>
        <v>-6000</v>
      </c>
      <c r="M49" s="40">
        <f aca="true" t="shared" si="12" ref="M49:P49">+M37+M43</f>
        <v>12206.752999999997</v>
      </c>
      <c r="N49" s="40">
        <f t="shared" si="12"/>
        <v>11980.323044999996</v>
      </c>
      <c r="O49" s="40">
        <f t="shared" si="12"/>
        <v>11757.209140674995</v>
      </c>
      <c r="P49" s="40">
        <f t="shared" si="12"/>
        <v>11537.461027785119</v>
      </c>
      <c r="Q49" s="40"/>
      <c r="R49" s="35"/>
    </row>
    <row r="50" spans="1:18" ht="15">
      <c r="A50" s="89" t="s">
        <v>64</v>
      </c>
      <c r="B50" s="23"/>
      <c r="C50" s="95">
        <v>2</v>
      </c>
      <c r="D50" s="95">
        <v>700</v>
      </c>
      <c r="E50" s="96">
        <v>0.8</v>
      </c>
      <c r="F50" s="97">
        <f aca="true" t="shared" si="13" ref="F50:F53">D50*12*E50</f>
        <v>6720</v>
      </c>
      <c r="G50" s="87">
        <f aca="true" t="shared" si="14" ref="G50:G53">F50*C50</f>
        <v>13440</v>
      </c>
      <c r="I50" s="34"/>
      <c r="J50" s="9" t="s">
        <v>65</v>
      </c>
      <c r="K50" s="9"/>
      <c r="L50" s="40">
        <f>-L35</f>
        <v>4000</v>
      </c>
      <c r="M50" s="40">
        <f aca="true" t="shared" si="15" ref="M50:P50">-M35</f>
        <v>4500</v>
      </c>
      <c r="N50" s="40">
        <f t="shared" si="15"/>
        <v>5000</v>
      </c>
      <c r="O50" s="40">
        <f t="shared" si="15"/>
        <v>5500</v>
      </c>
      <c r="P50" s="40">
        <f t="shared" si="15"/>
        <v>6000</v>
      </c>
      <c r="Q50" s="40"/>
      <c r="R50" s="35"/>
    </row>
    <row r="51" spans="1:18" ht="15">
      <c r="A51" s="89" t="s">
        <v>66</v>
      </c>
      <c r="B51" s="23"/>
      <c r="C51" s="95"/>
      <c r="D51" s="95"/>
      <c r="E51" s="96"/>
      <c r="F51" s="97">
        <f t="shared" si="13"/>
        <v>0</v>
      </c>
      <c r="G51" s="87">
        <f t="shared" si="14"/>
        <v>0</v>
      </c>
      <c r="I51" s="34"/>
      <c r="J51" s="46" t="s">
        <v>28</v>
      </c>
      <c r="K51" s="9"/>
      <c r="L51" s="66">
        <f>+L49+L50</f>
        <v>-2000</v>
      </c>
      <c r="M51" s="66">
        <f aca="true" t="shared" si="16" ref="M51:Q51">+M49+M50</f>
        <v>16706.752999999997</v>
      </c>
      <c r="N51" s="66">
        <f t="shared" si="16"/>
        <v>16980.323044999997</v>
      </c>
      <c r="O51" s="66">
        <f t="shared" si="16"/>
        <v>17257.209140674997</v>
      </c>
      <c r="P51" s="66">
        <f t="shared" si="16"/>
        <v>17537.461027785117</v>
      </c>
      <c r="Q51" s="66">
        <f t="shared" si="16"/>
        <v>0</v>
      </c>
      <c r="R51" s="35"/>
    </row>
    <row r="52" spans="1:18" ht="18" customHeight="1">
      <c r="A52" s="89" t="s">
        <v>67</v>
      </c>
      <c r="B52" s="23"/>
      <c r="C52" s="95"/>
      <c r="D52" s="95"/>
      <c r="E52" s="96"/>
      <c r="F52" s="97">
        <f t="shared" si="13"/>
        <v>0</v>
      </c>
      <c r="G52" s="87">
        <f t="shared" si="14"/>
        <v>0</v>
      </c>
      <c r="I52" s="98"/>
      <c r="J52" s="9"/>
      <c r="K52" s="9"/>
      <c r="L52" s="40"/>
      <c r="M52" s="40"/>
      <c r="N52" s="40"/>
      <c r="O52" s="40"/>
      <c r="P52" s="40"/>
      <c r="Q52" s="40"/>
      <c r="R52" s="35"/>
    </row>
    <row r="53" spans="1:18" ht="18" customHeight="1">
      <c r="A53" s="89" t="s">
        <v>68</v>
      </c>
      <c r="B53" s="23"/>
      <c r="C53" s="95"/>
      <c r="D53" s="95"/>
      <c r="E53" s="96"/>
      <c r="F53" s="97">
        <f t="shared" si="13"/>
        <v>0</v>
      </c>
      <c r="G53" s="87">
        <f t="shared" si="14"/>
        <v>0</v>
      </c>
      <c r="I53" s="34"/>
      <c r="J53" s="9" t="s">
        <v>69</v>
      </c>
      <c r="L53" s="40"/>
      <c r="M53" s="40"/>
      <c r="N53" s="40"/>
      <c r="O53" s="40"/>
      <c r="P53" s="40"/>
      <c r="Q53" s="40"/>
      <c r="R53" s="35"/>
    </row>
    <row r="54" spans="1:18" ht="27.75" customHeight="1" thickBot="1">
      <c r="A54" s="89"/>
      <c r="B54" s="23"/>
      <c r="C54" s="23"/>
      <c r="D54" s="84"/>
      <c r="E54" s="100"/>
      <c r="F54" s="101" t="s">
        <v>70</v>
      </c>
      <c r="G54" s="102">
        <f>SUM(G49:G53)</f>
        <v>22080</v>
      </c>
      <c r="I54" s="34"/>
      <c r="J54" s="9" t="s">
        <v>71</v>
      </c>
      <c r="K54" s="9"/>
      <c r="L54" s="40"/>
      <c r="M54" s="40"/>
      <c r="N54" s="40"/>
      <c r="O54" s="40"/>
      <c r="P54" s="40"/>
      <c r="Q54" s="40"/>
      <c r="R54" s="35"/>
    </row>
    <row r="55" spans="1:18" ht="27.75" customHeight="1" thickBot="1" thickTop="1">
      <c r="A55" s="103"/>
      <c r="B55" s="104"/>
      <c r="C55" s="104"/>
      <c r="D55" s="104"/>
      <c r="E55" s="104"/>
      <c r="F55" s="104"/>
      <c r="G55" s="105"/>
      <c r="I55" s="34"/>
      <c r="J55" s="9" t="s">
        <v>72</v>
      </c>
      <c r="K55" s="9"/>
      <c r="L55" s="40"/>
      <c r="M55" s="40"/>
      <c r="N55" s="40"/>
      <c r="O55" s="40"/>
      <c r="P55" s="40"/>
      <c r="Q55" s="40"/>
      <c r="R55" s="35"/>
    </row>
    <row r="56" spans="1:18" ht="30" customHeight="1" thickBot="1" thickTop="1">
      <c r="A56" s="177" t="s">
        <v>73</v>
      </c>
      <c r="B56" s="178"/>
      <c r="C56" s="178"/>
      <c r="D56" s="106">
        <v>0.21</v>
      </c>
      <c r="E56" s="107"/>
      <c r="F56" s="107"/>
      <c r="G56" s="108"/>
      <c r="I56" s="34"/>
      <c r="J56" s="46" t="s">
        <v>74</v>
      </c>
      <c r="K56" s="9"/>
      <c r="L56" s="66">
        <f>+L53+L54-L55</f>
        <v>0</v>
      </c>
      <c r="M56" s="66">
        <f aca="true" t="shared" si="17" ref="M56:Q56">+M53+M54-M55</f>
        <v>0</v>
      </c>
      <c r="N56" s="66">
        <f>+N53+N54-N55</f>
        <v>0</v>
      </c>
      <c r="O56" s="66">
        <f t="shared" si="17"/>
        <v>0</v>
      </c>
      <c r="P56" s="66">
        <f t="shared" si="17"/>
        <v>0</v>
      </c>
      <c r="Q56" s="66">
        <f t="shared" si="17"/>
        <v>0</v>
      </c>
      <c r="R56" s="35"/>
    </row>
    <row r="57" spans="1:18" ht="18.95" customHeight="1" thickBot="1" thickTop="1">
      <c r="A57" s="7"/>
      <c r="B57" s="7"/>
      <c r="C57" s="7"/>
      <c r="D57" s="109"/>
      <c r="E57" s="110"/>
      <c r="F57" s="111"/>
      <c r="G57" s="112"/>
      <c r="I57" s="34"/>
      <c r="J57" s="46"/>
      <c r="K57" s="9"/>
      <c r="L57" s="113"/>
      <c r="M57" s="113"/>
      <c r="N57" s="113"/>
      <c r="O57" s="113"/>
      <c r="P57" s="113"/>
      <c r="Q57" s="113"/>
      <c r="R57" s="35"/>
    </row>
    <row r="58" spans="1:18" ht="18.95" customHeight="1" thickTop="1">
      <c r="A58" s="114" t="s">
        <v>75</v>
      </c>
      <c r="B58" s="115"/>
      <c r="C58" s="115"/>
      <c r="D58" s="115"/>
      <c r="E58" s="115"/>
      <c r="F58" s="115"/>
      <c r="G58" s="116"/>
      <c r="I58" s="34"/>
      <c r="J58" s="22" t="s">
        <v>76</v>
      </c>
      <c r="K58" s="9"/>
      <c r="L58" s="117">
        <f>+L17</f>
        <v>225000</v>
      </c>
      <c r="M58" s="117">
        <f>+M17</f>
        <v>2000</v>
      </c>
      <c r="N58" s="117">
        <f>+N17</f>
        <v>2000</v>
      </c>
      <c r="O58" s="117">
        <f>+O17</f>
        <v>2000</v>
      </c>
      <c r="P58" s="117">
        <f>+P17</f>
        <v>2000</v>
      </c>
      <c r="Q58" s="117"/>
      <c r="R58" s="35"/>
    </row>
    <row r="59" spans="1:18" ht="18.95" customHeight="1">
      <c r="A59" s="118" t="s">
        <v>77</v>
      </c>
      <c r="B59" s="23" t="s">
        <v>78</v>
      </c>
      <c r="C59" s="23"/>
      <c r="D59" s="23"/>
      <c r="E59" s="119" t="s">
        <v>79</v>
      </c>
      <c r="F59" s="120"/>
      <c r="G59" s="121"/>
      <c r="I59" s="34"/>
      <c r="J59" s="46" t="s">
        <v>80</v>
      </c>
      <c r="K59" s="9"/>
      <c r="L59" s="66">
        <f>SUM(L58)</f>
        <v>225000</v>
      </c>
      <c r="M59" s="66">
        <f aca="true" t="shared" si="18" ref="M59:Q59">SUM(M58)</f>
        <v>2000</v>
      </c>
      <c r="N59" s="66">
        <f t="shared" si="18"/>
        <v>2000</v>
      </c>
      <c r="O59" s="66">
        <f t="shared" si="18"/>
        <v>2000</v>
      </c>
      <c r="P59" s="66">
        <f t="shared" si="18"/>
        <v>2000</v>
      </c>
      <c r="Q59" s="66">
        <f t="shared" si="18"/>
        <v>0</v>
      </c>
      <c r="R59" s="35"/>
    </row>
    <row r="60" spans="1:38" ht="18.95" customHeight="1" thickBot="1">
      <c r="A60" s="118" t="s">
        <v>81</v>
      </c>
      <c r="B60" s="23" t="s">
        <v>82</v>
      </c>
      <c r="C60" s="23"/>
      <c r="D60" s="23"/>
      <c r="E60" s="120"/>
      <c r="F60" s="120"/>
      <c r="G60" s="122"/>
      <c r="I60" s="34"/>
      <c r="J60" s="46" t="s">
        <v>83</v>
      </c>
      <c r="K60" s="46"/>
      <c r="L60" s="123">
        <f>+L51-L56-L59</f>
        <v>-227000</v>
      </c>
      <c r="M60" s="123">
        <f aca="true" t="shared" si="19" ref="M60:O60">+M51-M56-M59</f>
        <v>14706.752999999997</v>
      </c>
      <c r="N60" s="123">
        <f t="shared" si="19"/>
        <v>14980.323044999997</v>
      </c>
      <c r="O60" s="123">
        <f t="shared" si="19"/>
        <v>15257.209140674997</v>
      </c>
      <c r="P60" s="123">
        <f>+P51-P56-P59</f>
        <v>15537.461027785117</v>
      </c>
      <c r="Q60" s="123">
        <f>+Q51-Q56-Q59</f>
        <v>0</v>
      </c>
      <c r="R60" s="35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</row>
    <row r="61" spans="1:18" ht="15">
      <c r="A61" s="118"/>
      <c r="B61" s="23"/>
      <c r="C61" s="125" t="s">
        <v>84</v>
      </c>
      <c r="D61" s="126" t="s">
        <v>85</v>
      </c>
      <c r="E61" s="127"/>
      <c r="F61" s="127"/>
      <c r="G61" s="128">
        <v>0.0263</v>
      </c>
      <c r="I61" s="34"/>
      <c r="J61" s="46"/>
      <c r="K61" s="46"/>
      <c r="L61" s="40"/>
      <c r="M61" s="40"/>
      <c r="N61" s="40"/>
      <c r="O61" s="40"/>
      <c r="P61" s="40"/>
      <c r="Q61" s="40"/>
      <c r="R61" s="35"/>
    </row>
    <row r="62" spans="1:19" ht="14.25" customHeight="1">
      <c r="A62" s="118"/>
      <c r="B62" s="23"/>
      <c r="C62" s="129" t="s">
        <v>86</v>
      </c>
      <c r="D62" s="23"/>
      <c r="E62" s="120"/>
      <c r="F62" s="120"/>
      <c r="G62" s="128">
        <v>0.05</v>
      </c>
      <c r="I62" s="34"/>
      <c r="J62" s="9" t="s">
        <v>87</v>
      </c>
      <c r="K62" s="9"/>
      <c r="L62" s="40">
        <f aca="true" t="shared" si="20" ref="L62:P63">+L19</f>
        <v>100000</v>
      </c>
      <c r="M62" s="40">
        <f t="shared" si="20"/>
        <v>0</v>
      </c>
      <c r="N62" s="40">
        <f t="shared" si="20"/>
        <v>0</v>
      </c>
      <c r="O62" s="40">
        <f t="shared" si="20"/>
        <v>0</v>
      </c>
      <c r="P62" s="40">
        <f t="shared" si="20"/>
        <v>0</v>
      </c>
      <c r="Q62" s="40"/>
      <c r="R62" s="35"/>
      <c r="S62" s="124"/>
    </row>
    <row r="63" spans="1:18" ht="14.25" customHeight="1">
      <c r="A63" s="118"/>
      <c r="B63" s="23"/>
      <c r="C63" s="84" t="s">
        <v>88</v>
      </c>
      <c r="D63" s="23"/>
      <c r="E63" s="119"/>
      <c r="F63" s="120"/>
      <c r="G63" s="130"/>
      <c r="I63" s="131"/>
      <c r="J63" s="9" t="s">
        <v>24</v>
      </c>
      <c r="K63" s="9"/>
      <c r="L63" s="40">
        <f t="shared" si="20"/>
        <v>0</v>
      </c>
      <c r="M63" s="40">
        <f t="shared" si="20"/>
        <v>5000</v>
      </c>
      <c r="N63" s="40">
        <f t="shared" si="20"/>
        <v>5000</v>
      </c>
      <c r="O63" s="40">
        <f t="shared" si="20"/>
        <v>5000</v>
      </c>
      <c r="P63" s="40">
        <f t="shared" si="20"/>
        <v>5000</v>
      </c>
      <c r="Q63" s="40"/>
      <c r="R63" s="35"/>
    </row>
    <row r="64" spans="1:18" ht="15">
      <c r="A64" s="118"/>
      <c r="B64" s="23"/>
      <c r="C64" s="84"/>
      <c r="D64" s="23"/>
      <c r="E64" s="119"/>
      <c r="F64" s="120"/>
      <c r="G64" s="132"/>
      <c r="I64" s="34"/>
      <c r="J64" s="9" t="s">
        <v>26</v>
      </c>
      <c r="K64" s="9"/>
      <c r="L64" s="40">
        <f>+L22</f>
        <v>2500</v>
      </c>
      <c r="M64" s="40">
        <f>+M22</f>
        <v>4875</v>
      </c>
      <c r="N64" s="40">
        <f>+N22</f>
        <v>4625</v>
      </c>
      <c r="O64" s="40">
        <f>+O22</f>
        <v>4375</v>
      </c>
      <c r="P64" s="40">
        <f>+P22</f>
        <v>4125</v>
      </c>
      <c r="Q64" s="40"/>
      <c r="R64" s="35"/>
    </row>
    <row r="65" spans="1:18" ht="15.75" thickBot="1">
      <c r="A65" s="118" t="s">
        <v>89</v>
      </c>
      <c r="B65" s="23" t="s">
        <v>90</v>
      </c>
      <c r="C65" s="84"/>
      <c r="D65" s="23"/>
      <c r="E65" s="119"/>
      <c r="F65" s="120"/>
      <c r="G65" s="128">
        <v>0.015</v>
      </c>
      <c r="I65" s="34"/>
      <c r="J65" s="46" t="s">
        <v>91</v>
      </c>
      <c r="K65" s="46"/>
      <c r="L65" s="123">
        <f>+L60+L62-L63-L64</f>
        <v>-129500</v>
      </c>
      <c r="M65" s="123">
        <f aca="true" t="shared" si="21" ref="M65:O65">+M60+M62-M63-M64</f>
        <v>4831.752999999997</v>
      </c>
      <c r="N65" s="123">
        <f t="shared" si="21"/>
        <v>5355.323044999997</v>
      </c>
      <c r="O65" s="123">
        <f t="shared" si="21"/>
        <v>5882.209140674997</v>
      </c>
      <c r="P65" s="123">
        <f>+P60+P62-P63-P64</f>
        <v>6412.461027785117</v>
      </c>
      <c r="Q65" s="123">
        <f>IF($G$68="sim",+P65*(1+$E$68)/(Q67-$E$68),$G$69)</f>
        <v>128000</v>
      </c>
      <c r="R65" s="35"/>
    </row>
    <row r="66" spans="1:18" ht="15">
      <c r="A66" s="118"/>
      <c r="B66" s="23"/>
      <c r="C66" s="84"/>
      <c r="D66" s="23"/>
      <c r="E66" s="119"/>
      <c r="F66" s="120"/>
      <c r="G66" s="132"/>
      <c r="I66" s="34"/>
      <c r="J66" s="46"/>
      <c r="K66" s="46"/>
      <c r="L66" s="133"/>
      <c r="M66" s="133"/>
      <c r="N66" s="133"/>
      <c r="O66" s="133"/>
      <c r="P66" s="133"/>
      <c r="Q66" s="133"/>
      <c r="R66" s="35"/>
    </row>
    <row r="67" spans="1:18" ht="15">
      <c r="A67" s="118" t="s">
        <v>92</v>
      </c>
      <c r="B67" s="23" t="s">
        <v>93</v>
      </c>
      <c r="C67" s="23"/>
      <c r="D67" s="84"/>
      <c r="E67" s="85"/>
      <c r="F67" s="86"/>
      <c r="G67" s="134"/>
      <c r="I67" s="34"/>
      <c r="J67" s="109" t="s">
        <v>94</v>
      </c>
      <c r="K67" s="109"/>
      <c r="L67" s="135">
        <f>+$G$61+$G$62*(IF($G$63&gt;0,$G$63,1))</f>
        <v>0.0763</v>
      </c>
      <c r="M67" s="135">
        <f aca="true" t="shared" si="22" ref="M67:Q67">+$G$61+$G$62*(IF($G$63&gt;0,$G$63,1))</f>
        <v>0.0763</v>
      </c>
      <c r="N67" s="135">
        <f t="shared" si="22"/>
        <v>0.0763</v>
      </c>
      <c r="O67" s="135">
        <f t="shared" si="22"/>
        <v>0.0763</v>
      </c>
      <c r="P67" s="135">
        <f t="shared" si="22"/>
        <v>0.0763</v>
      </c>
      <c r="Q67" s="135">
        <f t="shared" si="22"/>
        <v>0.0763</v>
      </c>
      <c r="R67" s="35"/>
    </row>
    <row r="68" spans="1:18" ht="15">
      <c r="A68" s="118"/>
      <c r="B68" s="23"/>
      <c r="C68" s="129"/>
      <c r="D68" s="136" t="s">
        <v>95</v>
      </c>
      <c r="E68" s="125">
        <v>0.01</v>
      </c>
      <c r="F68" s="86"/>
      <c r="G68" s="137"/>
      <c r="I68" s="34"/>
      <c r="J68" s="109" t="s">
        <v>96</v>
      </c>
      <c r="K68" s="109"/>
      <c r="L68" s="124">
        <v>1</v>
      </c>
      <c r="M68" s="124">
        <f>+L68*(1+M67)</f>
        <v>1.0763</v>
      </c>
      <c r="N68" s="124">
        <f>+M68*(1+N67)</f>
        <v>1.1584216900000002</v>
      </c>
      <c r="O68" s="124">
        <f aca="true" t="shared" si="23" ref="O68:P68">+N68*(1+O67)</f>
        <v>1.2468092649470002</v>
      </c>
      <c r="P68" s="124">
        <f t="shared" si="23"/>
        <v>1.3419408118624563</v>
      </c>
      <c r="Q68" s="124"/>
      <c r="R68" s="35"/>
    </row>
    <row r="69" spans="1:18" ht="15">
      <c r="A69" s="118"/>
      <c r="B69" s="23"/>
      <c r="C69" s="129"/>
      <c r="D69" s="136" t="s">
        <v>97</v>
      </c>
      <c r="E69" s="125"/>
      <c r="F69" s="86"/>
      <c r="G69" s="138">
        <f>(SUM(L17:P17)+SUM(L35:P35)-(SUM(L19:P19)-SUM(L20:P20)))</f>
        <v>128000</v>
      </c>
      <c r="I69" s="34"/>
      <c r="J69" s="9"/>
      <c r="K69" s="9"/>
      <c r="L69" s="7"/>
      <c r="M69" s="7"/>
      <c r="N69" s="7"/>
      <c r="O69" s="7"/>
      <c r="P69" s="7"/>
      <c r="Q69" s="7"/>
      <c r="R69" s="35"/>
    </row>
    <row r="70" spans="1:18" ht="15.75" thickBot="1">
      <c r="A70" s="139"/>
      <c r="B70" s="140"/>
      <c r="C70" s="140"/>
      <c r="D70" s="141"/>
      <c r="E70" s="142"/>
      <c r="F70" s="143"/>
      <c r="G70" s="144"/>
      <c r="I70" s="34"/>
      <c r="J70" s="46" t="s">
        <v>98</v>
      </c>
      <c r="K70" s="9"/>
      <c r="L70" s="145">
        <f>+L65/L68</f>
        <v>-129500</v>
      </c>
      <c r="M70" s="145">
        <f>+M65/M68</f>
        <v>4489.225123106938</v>
      </c>
      <c r="N70" s="145">
        <f>+N65/N68</f>
        <v>4622.947836033695</v>
      </c>
      <c r="O70" s="145">
        <f>+O65/O68</f>
        <v>4717.809937773473</v>
      </c>
      <c r="P70" s="145">
        <f>+P65/P68</f>
        <v>4778.497658838898</v>
      </c>
      <c r="Q70" s="145">
        <f>+Q65/P68</f>
        <v>95384.23667311454</v>
      </c>
      <c r="R70" s="35"/>
    </row>
    <row r="71" spans="1:18" ht="16.5" thickTop="1">
      <c r="A71" s="146" t="s">
        <v>99</v>
      </c>
      <c r="B71" s="147"/>
      <c r="C71" s="147"/>
      <c r="D71" s="148"/>
      <c r="E71" s="149"/>
      <c r="F71" s="150"/>
      <c r="G71" s="151"/>
      <c r="I71" s="34"/>
      <c r="J71" s="9"/>
      <c r="K71" s="9"/>
      <c r="L71" s="152"/>
      <c r="M71" s="7"/>
      <c r="N71" s="7"/>
      <c r="O71" s="7"/>
      <c r="P71" s="7"/>
      <c r="Q71" s="7"/>
      <c r="R71" s="35"/>
    </row>
    <row r="72" spans="1:38" ht="18.75">
      <c r="A72" s="118" t="s">
        <v>77</v>
      </c>
      <c r="B72" s="23" t="s">
        <v>100</v>
      </c>
      <c r="C72" s="23"/>
      <c r="D72" s="84"/>
      <c r="E72" s="153" t="s">
        <v>101</v>
      </c>
      <c r="F72" s="86"/>
      <c r="G72" s="121"/>
      <c r="I72" s="154"/>
      <c r="J72" s="155" t="s">
        <v>102</v>
      </c>
      <c r="K72" s="156"/>
      <c r="L72" s="157">
        <f>SUM(L70:Q70)</f>
        <v>-15507.28277113245</v>
      </c>
      <c r="M72" s="158"/>
      <c r="N72" s="158"/>
      <c r="O72" s="158"/>
      <c r="P72" s="158"/>
      <c r="Q72" s="158"/>
      <c r="R72" s="159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</row>
    <row r="73" spans="1:18" ht="19.5" thickBot="1">
      <c r="A73" s="118"/>
      <c r="B73" s="23"/>
      <c r="C73" s="23"/>
      <c r="D73" s="84"/>
      <c r="E73" s="161" t="s">
        <v>103</v>
      </c>
      <c r="F73" s="86"/>
      <c r="G73" s="121"/>
      <c r="I73" s="162"/>
      <c r="J73" s="163" t="s">
        <v>104</v>
      </c>
      <c r="K73" s="164"/>
      <c r="L73" s="165" t="str">
        <f>IF($L$72&gt;0,(IF(IRR(L65:Q65)&gt;0,IRR(L65:Q65),"sem significado")),(IF(IRR(L65:Q65)&lt;0,IRR(L65:Q65),"sem significado")))</f>
        <v>sem significado</v>
      </c>
      <c r="M73" s="166"/>
      <c r="N73" s="166"/>
      <c r="O73" s="166"/>
      <c r="P73" s="166"/>
      <c r="Q73" s="166"/>
      <c r="R73" s="167"/>
    </row>
    <row r="74" spans="1:19" ht="15.75" thickTop="1">
      <c r="A74" s="118"/>
      <c r="B74" s="23"/>
      <c r="C74" s="23"/>
      <c r="D74" s="84"/>
      <c r="E74" s="85" t="s">
        <v>105</v>
      </c>
      <c r="F74" s="86"/>
      <c r="G74" s="121"/>
      <c r="S74" s="160"/>
    </row>
    <row r="75" spans="1:12" ht="15">
      <c r="A75" s="118"/>
      <c r="B75" s="23"/>
      <c r="C75" s="23"/>
      <c r="D75" s="84"/>
      <c r="E75" s="85"/>
      <c r="F75" s="86"/>
      <c r="G75" s="121"/>
      <c r="L75" s="168"/>
    </row>
    <row r="76" spans="1:17" ht="15">
      <c r="A76" s="118" t="s">
        <v>81</v>
      </c>
      <c r="B76" s="23" t="s">
        <v>106</v>
      </c>
      <c r="C76" s="23"/>
      <c r="D76" s="84"/>
      <c r="E76" s="85" t="s">
        <v>107</v>
      </c>
      <c r="F76" s="86"/>
      <c r="G76" s="121"/>
      <c r="L76" s="169"/>
      <c r="M76" s="169"/>
      <c r="N76" s="169"/>
      <c r="O76" s="169"/>
      <c r="P76" s="170"/>
      <c r="Q76" s="169"/>
    </row>
    <row r="77" spans="1:12" ht="15">
      <c r="A77" s="118"/>
      <c r="B77" s="23"/>
      <c r="C77" s="23"/>
      <c r="D77" s="84"/>
      <c r="E77" s="85"/>
      <c r="F77" s="86"/>
      <c r="G77" s="121"/>
      <c r="L77" s="170"/>
    </row>
    <row r="78" spans="1:13" ht="15">
      <c r="A78" s="118" t="s">
        <v>89</v>
      </c>
      <c r="B78" s="23" t="s">
        <v>108</v>
      </c>
      <c r="C78" s="23"/>
      <c r="D78" s="84"/>
      <c r="E78" s="179" t="s">
        <v>109</v>
      </c>
      <c r="F78" s="179"/>
      <c r="G78" s="180"/>
      <c r="M78" s="171"/>
    </row>
    <row r="79" spans="1:14" ht="15">
      <c r="A79" s="118"/>
      <c r="B79" s="23"/>
      <c r="C79" s="23"/>
      <c r="D79" s="84"/>
      <c r="E79" s="179"/>
      <c r="F79" s="179"/>
      <c r="G79" s="180"/>
      <c r="L79" s="160"/>
      <c r="M79" s="160"/>
      <c r="N79" s="160"/>
    </row>
    <row r="80" spans="1:18" ht="15">
      <c r="A80" s="118" t="s">
        <v>92</v>
      </c>
      <c r="B80" s="23" t="s">
        <v>102</v>
      </c>
      <c r="C80" s="23" t="s">
        <v>110</v>
      </c>
      <c r="D80" s="84"/>
      <c r="E80" s="179" t="s">
        <v>111</v>
      </c>
      <c r="F80" s="179"/>
      <c r="G80" s="180"/>
      <c r="L80" s="160"/>
      <c r="M80" s="160"/>
      <c r="N80" s="160"/>
      <c r="O80" s="160"/>
      <c r="P80" s="160"/>
      <c r="Q80" s="160"/>
      <c r="R80" s="160"/>
    </row>
    <row r="81" spans="1:12" ht="11.25" customHeight="1">
      <c r="A81" s="118"/>
      <c r="B81" s="23"/>
      <c r="C81" s="23"/>
      <c r="D81" s="84"/>
      <c r="E81" s="179"/>
      <c r="F81" s="179"/>
      <c r="G81" s="180"/>
      <c r="L81" s="170"/>
    </row>
    <row r="82" spans="1:12" ht="18.75" customHeight="1">
      <c r="A82" s="118"/>
      <c r="B82" s="23"/>
      <c r="C82" s="23"/>
      <c r="D82" s="84"/>
      <c r="E82" s="172" t="s">
        <v>112</v>
      </c>
      <c r="F82" s="86"/>
      <c r="G82" s="121"/>
      <c r="L82" s="160"/>
    </row>
    <row r="83" spans="1:14" ht="15">
      <c r="A83" s="118" t="s">
        <v>113</v>
      </c>
      <c r="B83" s="23" t="s">
        <v>104</v>
      </c>
      <c r="C83" s="23" t="s">
        <v>114</v>
      </c>
      <c r="D83" s="84"/>
      <c r="E83" s="179" t="s">
        <v>115</v>
      </c>
      <c r="F83" s="179"/>
      <c r="G83" s="180"/>
      <c r="L83" s="160"/>
      <c r="M83" s="160"/>
      <c r="N83" s="160"/>
    </row>
    <row r="84" spans="1:7" ht="15">
      <c r="A84" s="118"/>
      <c r="B84" s="23"/>
      <c r="C84" s="23"/>
      <c r="D84" s="84"/>
      <c r="E84" s="179"/>
      <c r="F84" s="179"/>
      <c r="G84" s="180"/>
    </row>
    <row r="85" spans="1:7" ht="15.75" thickBot="1">
      <c r="A85" s="139"/>
      <c r="B85" s="140"/>
      <c r="C85" s="140"/>
      <c r="D85" s="141"/>
      <c r="E85" s="181"/>
      <c r="F85" s="181"/>
      <c r="G85" s="182"/>
    </row>
    <row r="86" ht="15.75" thickTop="1"/>
  </sheetData>
  <mergeCells count="4">
    <mergeCell ref="A56:C56"/>
    <mergeCell ref="E78:G79"/>
    <mergeCell ref="E80:G81"/>
    <mergeCell ref="E83:G85"/>
  </mergeCells>
  <dataValidations count="3">
    <dataValidation type="whole" allowBlank="1" showInputMessage="1" showErrorMessage="1" promptTitle="Pressuposto 1" prompt="Máximo 5 anos" sqref="G30">
      <formula1>0</formula1>
      <formula2>5</formula2>
    </dataValidation>
    <dataValidation type="list" allowBlank="1" showInputMessage="1" showErrorMessage="1" promptTitle="Pressuposto 1" prompt="Máximo 5 anos" sqref="E23 D45 D12">
      <formula1>$L$11:$P$11</formula1>
    </dataValidation>
    <dataValidation type="list" allowBlank="1" showInputMessage="1" showErrorMessage="1" promptTitle="Opção de perpetuidade dos FCFE" prompt="escrever sim ou deixar em branco" sqref="G68">
      <formula1>"sim"</formula1>
    </dataValidation>
  </dataValidations>
  <printOptions horizontalCentered="1" verticalCentered="1"/>
  <pageMargins left="0.11811023622047245" right="0.11811023622047245" top="0.9448818897637796" bottom="0.35433070866141736" header="0.31496062992125984" footer="0.31496062992125984"/>
  <pageSetup horizontalDpi="600" verticalDpi="600" orientation="portrait" paperSize="9" scale="50" r:id="rId2"/>
  <headerFooter>
    <oddHeader>&amp;L&amp;G</oddHeader>
    <oddFooter>&amp;R&amp;F
&amp;A</oddFooter>
  </headerFooter>
  <colBreaks count="1" manualBreakCount="1">
    <brk id="8" max="16383" man="1"/>
  </colBreaks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3A83E4C411D4DB43D04CDB466CBAE" ma:contentTypeVersion="8" ma:contentTypeDescription="Create a new document." ma:contentTypeScope="" ma:versionID="e1512e3882a5ccdefc0457b5c8d77212">
  <xsd:schema xmlns:xsd="http://www.w3.org/2001/XMLSchema" xmlns:xs="http://www.w3.org/2001/XMLSchema" xmlns:p="http://schemas.microsoft.com/office/2006/metadata/properties" xmlns:ns2="b3815fa2-69ab-461b-9123-a901816d5c7f" targetNamespace="http://schemas.microsoft.com/office/2006/metadata/properties" ma:root="true" ma:fieldsID="f29bf06af0fb4c6a81a3eddb180b1e27" ns2:_="">
    <xsd:import namespace="b3815fa2-69ab-461b-9123-a901816d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15fa2-69ab-461b-9123-a901816d5c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4F363-E14D-4555-9BA5-4CDC9F2E8257}"/>
</file>

<file path=customXml/itemProps2.xml><?xml version="1.0" encoding="utf-8"?>
<ds:datastoreItem xmlns:ds="http://schemas.openxmlformats.org/officeDocument/2006/customXml" ds:itemID="{7134545A-010E-4A2E-9B72-67758D54BCF1}"/>
</file>

<file path=customXml/itemProps3.xml><?xml version="1.0" encoding="utf-8"?>
<ds:datastoreItem xmlns:ds="http://schemas.openxmlformats.org/officeDocument/2006/customXml" ds:itemID="{6E173300-F986-4C46-84C6-EDB37BBB0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AICCOPN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Carla Costa</cp:lastModifiedBy>
  <dcterms:created xsi:type="dcterms:W3CDTF">2018-03-29T14:48:47Z</dcterms:created>
  <dcterms:modified xsi:type="dcterms:W3CDTF">2021-11-15T16:04:39Z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0x01010048F3A83E4C411D4DB43D04CDB466CBAE</vt:lpwstr>
  </property>
</Properties>
</file>